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cquader\Desktop\"/>
    </mc:Choice>
  </mc:AlternateContent>
  <xr:revisionPtr revIDLastSave="0" documentId="8_{9C5D1AEB-FCA0-4EE1-A847-60BFD5E5E64F}" xr6:coauthVersionLast="41" xr6:coauthVersionMax="41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Annex 1 - segmental reporting" sheetId="1" r:id="rId1"/>
    <sheet name="Annex 2 - CT movements in SR1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4" i="2" l="1"/>
  <c r="D274" i="2"/>
  <c r="H269" i="2"/>
  <c r="G269" i="2"/>
  <c r="C269" i="2"/>
  <c r="E267" i="2"/>
  <c r="E266" i="2"/>
  <c r="E264" i="2"/>
  <c r="E262" i="2"/>
  <c r="F261" i="2"/>
  <c r="F269" i="2" s="1"/>
  <c r="D261" i="2"/>
  <c r="E261" i="2" s="1"/>
  <c r="E260" i="2"/>
  <c r="E259" i="2"/>
  <c r="E258" i="2"/>
  <c r="H255" i="2"/>
  <c r="G255" i="2"/>
  <c r="F255" i="2"/>
  <c r="C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D238" i="2"/>
  <c r="E238" i="2" s="1"/>
  <c r="E235" i="2"/>
  <c r="E234" i="2"/>
  <c r="E233" i="2"/>
  <c r="E232" i="2"/>
  <c r="E231" i="2"/>
  <c r="E230" i="2"/>
  <c r="H224" i="2"/>
  <c r="G224" i="2"/>
  <c r="F224" i="2"/>
  <c r="C224" i="2"/>
  <c r="D223" i="2"/>
  <c r="E222" i="2"/>
  <c r="E221" i="2"/>
  <c r="E219" i="2"/>
  <c r="E218" i="2"/>
  <c r="E217" i="2"/>
  <c r="E216" i="2"/>
  <c r="E214" i="2"/>
  <c r="E211" i="2"/>
  <c r="E274" i="2" s="1"/>
  <c r="H208" i="2"/>
  <c r="H227" i="2" s="1"/>
  <c r="G208" i="2"/>
  <c r="G227" i="2" s="1"/>
  <c r="G273" i="2" s="1"/>
  <c r="F208" i="2"/>
  <c r="F227" i="2" s="1"/>
  <c r="F271" i="2" s="1"/>
  <c r="D208" i="2"/>
  <c r="E207" i="2"/>
  <c r="E206" i="2"/>
  <c r="E205" i="2"/>
  <c r="C204" i="2"/>
  <c r="E189" i="2"/>
  <c r="E179" i="2"/>
  <c r="G174" i="2"/>
  <c r="E174" i="2"/>
  <c r="E173" i="2"/>
  <c r="D171" i="2"/>
  <c r="C171" i="2"/>
  <c r="E171" i="2" s="1"/>
  <c r="H166" i="2"/>
  <c r="H176" i="2" s="1"/>
  <c r="G166" i="2"/>
  <c r="F166" i="2"/>
  <c r="F178" i="2" s="1"/>
  <c r="D166" i="2"/>
  <c r="D176" i="2" s="1"/>
  <c r="C166" i="2"/>
  <c r="C176" i="2" s="1"/>
  <c r="E165" i="2"/>
  <c r="E164" i="2"/>
  <c r="E163" i="2"/>
  <c r="E162" i="2"/>
  <c r="E161" i="2"/>
  <c r="E160" i="2"/>
  <c r="E159" i="2"/>
  <c r="E145" i="2"/>
  <c r="E144" i="2"/>
  <c r="H143" i="2"/>
  <c r="H146" i="2" s="1"/>
  <c r="G143" i="2"/>
  <c r="G148" i="2" s="1"/>
  <c r="F143" i="2"/>
  <c r="F146" i="2" s="1"/>
  <c r="E142" i="2"/>
  <c r="E141" i="2"/>
  <c r="E140" i="2"/>
  <c r="E139" i="2"/>
  <c r="D138" i="2"/>
  <c r="D143" i="2" s="1"/>
  <c r="D146" i="2" s="1"/>
  <c r="C138" i="2"/>
  <c r="E136" i="2"/>
  <c r="E135" i="2"/>
  <c r="E126" i="2"/>
  <c r="H125" i="2"/>
  <c r="G125" i="2"/>
  <c r="F125" i="2"/>
  <c r="D125" i="2"/>
  <c r="C125" i="2"/>
  <c r="H124" i="2"/>
  <c r="G124" i="2"/>
  <c r="F124" i="2"/>
  <c r="D124" i="2"/>
  <c r="C124" i="2"/>
  <c r="E123" i="2"/>
  <c r="H122" i="2"/>
  <c r="G122" i="2"/>
  <c r="F122" i="2"/>
  <c r="D122" i="2"/>
  <c r="C122" i="2"/>
  <c r="E122" i="2" s="1"/>
  <c r="E117" i="2"/>
  <c r="E125" i="2" s="1"/>
  <c r="E116" i="2"/>
  <c r="E115" i="2"/>
  <c r="E114" i="2"/>
  <c r="E124" i="2" s="1"/>
  <c r="E100" i="2"/>
  <c r="H98" i="2"/>
  <c r="G98" i="2"/>
  <c r="G103" i="2" s="1"/>
  <c r="F98" i="2"/>
  <c r="F101" i="2" s="1"/>
  <c r="D98" i="2"/>
  <c r="D103" i="2" s="1"/>
  <c r="C98" i="2"/>
  <c r="E97" i="2"/>
  <c r="E96" i="2"/>
  <c r="E95" i="2"/>
  <c r="E94" i="2"/>
  <c r="E93" i="2"/>
  <c r="E92" i="2"/>
  <c r="E91" i="2"/>
  <c r="E90" i="2"/>
  <c r="E89" i="2"/>
  <c r="E88" i="2"/>
  <c r="E85" i="2"/>
  <c r="E84" i="2"/>
  <c r="H74" i="2"/>
  <c r="G74" i="2"/>
  <c r="F74" i="2"/>
  <c r="D74" i="2"/>
  <c r="C74" i="2"/>
  <c r="H72" i="2"/>
  <c r="G72" i="2"/>
  <c r="F72" i="2"/>
  <c r="D72" i="2"/>
  <c r="C72" i="2"/>
  <c r="E71" i="2"/>
  <c r="E70" i="2"/>
  <c r="E69" i="2"/>
  <c r="E68" i="2"/>
  <c r="E67" i="2"/>
  <c r="E66" i="2"/>
  <c r="E65" i="2"/>
  <c r="E64" i="2"/>
  <c r="E63" i="2"/>
  <c r="E62" i="2"/>
  <c r="E59" i="2"/>
  <c r="E58" i="2"/>
  <c r="H47" i="2"/>
  <c r="H52" i="2" s="1"/>
  <c r="H80" i="2" s="1"/>
  <c r="H109" i="2" s="1"/>
  <c r="G47" i="2"/>
  <c r="G52" i="2" s="1"/>
  <c r="G80" i="2" s="1"/>
  <c r="G109" i="2" s="1"/>
  <c r="G130" i="2" s="1"/>
  <c r="G154" i="2" s="1"/>
  <c r="G185" i="2" s="1"/>
  <c r="F47" i="2"/>
  <c r="F52" i="2" s="1"/>
  <c r="F80" i="2" s="1"/>
  <c r="F109" i="2" s="1"/>
  <c r="F130" i="2" s="1"/>
  <c r="F154" i="2" s="1"/>
  <c r="F185" i="2" s="1"/>
  <c r="D47" i="2"/>
  <c r="D52" i="2" s="1"/>
  <c r="D80" i="2" s="1"/>
  <c r="D109" i="2" s="1"/>
  <c r="C47" i="2"/>
  <c r="C52" i="2" s="1"/>
  <c r="C80" i="2" s="1"/>
  <c r="C109" i="2" s="1"/>
  <c r="C130" i="2" s="1"/>
  <c r="C154" i="2" s="1"/>
  <c r="C185" i="2" s="1"/>
  <c r="D46" i="2"/>
  <c r="D51" i="2" s="1"/>
  <c r="D79" i="2" s="1"/>
  <c r="C46" i="2"/>
  <c r="C51" i="2" s="1"/>
  <c r="C79" i="2" s="1"/>
  <c r="D44" i="2"/>
  <c r="C44" i="2"/>
  <c r="E43" i="2"/>
  <c r="G42" i="2"/>
  <c r="G44" i="2" s="1"/>
  <c r="E42" i="2"/>
  <c r="H41" i="2"/>
  <c r="F41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H11" i="2"/>
  <c r="G11" i="2"/>
  <c r="F11" i="2"/>
  <c r="D11" i="2"/>
  <c r="C11" i="2"/>
  <c r="C49" i="2" s="1"/>
  <c r="C77" i="2" s="1"/>
  <c r="E10" i="2"/>
  <c r="E9" i="2"/>
  <c r="E8" i="2"/>
  <c r="F44" i="2" l="1"/>
  <c r="F46" i="2"/>
  <c r="F51" i="2" s="1"/>
  <c r="F79" i="2" s="1"/>
  <c r="H46" i="2"/>
  <c r="H51" i="2" s="1"/>
  <c r="H79" i="2" s="1"/>
  <c r="H44" i="2"/>
  <c r="H49" i="2" s="1"/>
  <c r="E47" i="2"/>
  <c r="G49" i="2"/>
  <c r="C103" i="2"/>
  <c r="C108" i="2" s="1"/>
  <c r="C101" i="2"/>
  <c r="C106" i="2" s="1"/>
  <c r="C127" i="2" s="1"/>
  <c r="H103" i="2"/>
  <c r="H101" i="2"/>
  <c r="E138" i="2"/>
  <c r="C143" i="2"/>
  <c r="C148" i="2" s="1"/>
  <c r="G178" i="2"/>
  <c r="E223" i="2"/>
  <c r="D224" i="2"/>
  <c r="D178" i="2"/>
  <c r="C273" i="2"/>
  <c r="D227" i="2"/>
  <c r="D255" i="2"/>
  <c r="H148" i="2"/>
  <c r="G77" i="2"/>
  <c r="E74" i="2"/>
  <c r="E98" i="2"/>
  <c r="F49" i="2"/>
  <c r="F77" i="2" s="1"/>
  <c r="F106" i="2" s="1"/>
  <c r="F127" i="2" s="1"/>
  <c r="F151" i="2" s="1"/>
  <c r="C129" i="2"/>
  <c r="C153" i="2" s="1"/>
  <c r="H130" i="2"/>
  <c r="H154" i="2" s="1"/>
  <c r="H185" i="2" s="1"/>
  <c r="H196" i="2" s="1"/>
  <c r="E72" i="2"/>
  <c r="D101" i="2"/>
  <c r="E166" i="2"/>
  <c r="E52" i="2"/>
  <c r="E80" i="2" s="1"/>
  <c r="E109" i="2" s="1"/>
  <c r="E130" i="2" s="1"/>
  <c r="E154" i="2" s="1"/>
  <c r="E185" i="2" s="1"/>
  <c r="E46" i="2"/>
  <c r="D130" i="2"/>
  <c r="D154" i="2" s="1"/>
  <c r="D185" i="2" s="1"/>
  <c r="D196" i="2" s="1"/>
  <c r="G101" i="2"/>
  <c r="D148" i="2"/>
  <c r="G176" i="2"/>
  <c r="H178" i="2"/>
  <c r="H280" i="2"/>
  <c r="D280" i="2"/>
  <c r="C196" i="2"/>
  <c r="C280" i="2"/>
  <c r="E103" i="2"/>
  <c r="E101" i="2"/>
  <c r="H273" i="2"/>
  <c r="H271" i="2"/>
  <c r="H77" i="2"/>
  <c r="H106" i="2" s="1"/>
  <c r="H127" i="2" s="1"/>
  <c r="H151" i="2" s="1"/>
  <c r="H182" i="2" s="1"/>
  <c r="F280" i="2"/>
  <c r="F196" i="2"/>
  <c r="E176" i="2"/>
  <c r="E269" i="2"/>
  <c r="E51" i="2"/>
  <c r="E11" i="2"/>
  <c r="D49" i="2"/>
  <c r="D77" i="2" s="1"/>
  <c r="D106" i="2" s="1"/>
  <c r="D127" i="2" s="1"/>
  <c r="D151" i="2" s="1"/>
  <c r="D182" i="2" s="1"/>
  <c r="E44" i="2"/>
  <c r="D108" i="2"/>
  <c r="D129" i="2" s="1"/>
  <c r="G196" i="2"/>
  <c r="G280" i="2"/>
  <c r="E255" i="2"/>
  <c r="F273" i="2"/>
  <c r="C178" i="2"/>
  <c r="E178" i="2" s="1"/>
  <c r="D269" i="2"/>
  <c r="D273" i="2"/>
  <c r="G46" i="2"/>
  <c r="G51" i="2" s="1"/>
  <c r="G79" i="2" s="1"/>
  <c r="G108" i="2" s="1"/>
  <c r="G129" i="2" s="1"/>
  <c r="G153" i="2" s="1"/>
  <c r="G184" i="2" s="1"/>
  <c r="C146" i="2"/>
  <c r="C151" i="2" s="1"/>
  <c r="C182" i="2" s="1"/>
  <c r="G146" i="2"/>
  <c r="F176" i="2"/>
  <c r="F182" i="2" s="1"/>
  <c r="E224" i="2"/>
  <c r="G271" i="2"/>
  <c r="F148" i="2"/>
  <c r="F103" i="2"/>
  <c r="F108" i="2" s="1"/>
  <c r="F129" i="2" s="1"/>
  <c r="F153" i="2" s="1"/>
  <c r="F184" i="2" s="1"/>
  <c r="E143" i="2"/>
  <c r="E148" i="2" s="1"/>
  <c r="E204" i="2"/>
  <c r="E208" i="2" s="1"/>
  <c r="C208" i="2"/>
  <c r="C227" i="2" s="1"/>
  <c r="C271" i="2" s="1"/>
  <c r="H108" i="2" l="1"/>
  <c r="H129" i="2" s="1"/>
  <c r="H153" i="2" s="1"/>
  <c r="H184" i="2" s="1"/>
  <c r="H279" i="2"/>
  <c r="H195" i="2"/>
  <c r="G106" i="2"/>
  <c r="G127" i="2" s="1"/>
  <c r="G151" i="2" s="1"/>
  <c r="G182" i="2" s="1"/>
  <c r="D153" i="2"/>
  <c r="D184" i="2" s="1"/>
  <c r="D195" i="2" s="1"/>
  <c r="E79" i="2"/>
  <c r="E108" i="2" s="1"/>
  <c r="E129" i="2" s="1"/>
  <c r="D271" i="2"/>
  <c r="D276" i="2" s="1"/>
  <c r="E146" i="2"/>
  <c r="F276" i="2"/>
  <c r="F194" i="2"/>
  <c r="F201" i="2" s="1"/>
  <c r="C194" i="2"/>
  <c r="C201" i="2" s="1"/>
  <c r="C276" i="2"/>
  <c r="E153" i="2"/>
  <c r="E184" i="2" s="1"/>
  <c r="H194" i="2"/>
  <c r="H201" i="2" s="1"/>
  <c r="H276" i="2"/>
  <c r="H283" i="2" s="1"/>
  <c r="E227" i="2"/>
  <c r="E271" i="2" s="1"/>
  <c r="E273" i="2"/>
  <c r="F195" i="2"/>
  <c r="F279" i="2"/>
  <c r="G195" i="2"/>
  <c r="G279" i="2"/>
  <c r="D194" i="2"/>
  <c r="D201" i="2" s="1"/>
  <c r="E280" i="2"/>
  <c r="E196" i="2"/>
  <c r="D279" i="2"/>
  <c r="E49" i="2"/>
  <c r="E77" i="2" s="1"/>
  <c r="E106" i="2" s="1"/>
  <c r="E127" i="2" s="1"/>
  <c r="C184" i="2"/>
  <c r="D283" i="2" l="1"/>
  <c r="G276" i="2"/>
  <c r="G194" i="2"/>
  <c r="G201" i="2" s="1"/>
  <c r="E151" i="2"/>
  <c r="E182" i="2" s="1"/>
  <c r="E276" i="2" s="1"/>
  <c r="C279" i="2"/>
  <c r="C283" i="2" s="1"/>
  <c r="C195" i="2"/>
  <c r="E195" i="2"/>
  <c r="E279" i="2"/>
  <c r="G283" i="2"/>
  <c r="F283" i="2"/>
  <c r="E194" i="2" l="1"/>
  <c r="E201" i="2" s="1"/>
  <c r="E28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BOTTLE, Carol</author>
    <author>FORD, Jacky</author>
  </authors>
  <commentList>
    <comment ref="D8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BOTTLE, Carol:</t>
        </r>
        <r>
          <rPr>
            <sz val="9"/>
            <color indexed="81"/>
            <rFont val="Tahoma"/>
            <family val="2"/>
          </rPr>
          <t xml:space="preserve">
£884m increase in RDEL less £372m savings</t>
        </r>
      </text>
    </comment>
    <comment ref="C1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BOTTLE, Carol:</t>
        </r>
        <r>
          <rPr>
            <sz val="9"/>
            <color indexed="81"/>
            <rFont val="Tahoma"/>
            <family val="2"/>
          </rPr>
          <t xml:space="preserve">
Is this still relevant?
</t>
        </r>
        <r>
          <rPr>
            <b/>
            <sz val="9"/>
            <color indexed="81"/>
            <rFont val="Tahoma"/>
            <family val="2"/>
          </rPr>
          <t xml:space="preserve">FORD, Jacky: left as BX from 2018-19 admin
</t>
        </r>
        <r>
          <rPr>
            <sz val="9"/>
            <color indexed="81"/>
            <rFont val="Tahoma"/>
            <family val="2"/>
          </rPr>
          <t xml:space="preserve">
Reduced to 4,046 as per HMT email 14/01</t>
        </r>
      </text>
    </comment>
    <comment ref="D13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BOTTLE, Carol:</t>
        </r>
        <r>
          <rPr>
            <sz val="9"/>
            <color indexed="81"/>
            <rFont val="Tahoma"/>
            <family val="2"/>
          </rPr>
          <t xml:space="preserve">
original list had £2m admin + £2m prog but this is now £4m prog</t>
        </r>
      </text>
    </comment>
    <comment ref="D13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BOTTLE, Carol:</t>
        </r>
        <r>
          <rPr>
            <sz val="9"/>
            <color indexed="81"/>
            <rFont val="Tahoma"/>
            <family val="2"/>
          </rPr>
          <t xml:space="preserve">
increased from 37100 to 39100 as per Stephen Wan email
</t>
        </r>
      </text>
    </comment>
    <comment ref="C204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FORD, Jacky:</t>
        </r>
        <r>
          <rPr>
            <sz val="9"/>
            <color indexed="81"/>
            <rFont val="Tahoma"/>
            <family val="2"/>
          </rPr>
          <t xml:space="preserve">
reduced to £3.5 at Q2</t>
        </r>
      </text>
    </comment>
    <comment ref="D223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FORD, Jacky:</t>
        </r>
        <r>
          <rPr>
            <sz val="9"/>
            <color indexed="81"/>
            <rFont val="Tahoma"/>
            <family val="2"/>
          </rPr>
          <t xml:space="preserve">
Changed to 2383 as P7 figures revisied</t>
        </r>
      </text>
    </comment>
    <comment ref="D23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BOTTLE, CarolHE FBPs to confirm if type of budget</t>
        </r>
      </text>
    </comment>
    <comment ref="D23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FORD, Jacky:</t>
        </r>
        <r>
          <rPr>
            <sz val="9"/>
            <color indexed="81"/>
            <rFont val="Tahoma"/>
            <family val="2"/>
          </rPr>
          <t xml:space="preserve">
BCT reduced to 1057, from 1177. New MoU in place</t>
        </r>
      </text>
    </comment>
  </commentList>
</comments>
</file>

<file path=xl/sharedStrings.xml><?xml version="1.0" encoding="utf-8"?>
<sst xmlns="http://schemas.openxmlformats.org/spreadsheetml/2006/main" count="283" uniqueCount="217">
  <si>
    <t>Resource DEL Expenditure Categories</t>
  </si>
  <si>
    <t>£m</t>
  </si>
  <si>
    <t xml:space="preserve">Objective from Single Departmental Plan </t>
  </si>
  <si>
    <t>Schools Expenditure - LA-maintained schools</t>
  </si>
  <si>
    <t>1: Support schools to provide universally high-quality education up to 18, so young people leave with the skills and qualifications they need to lead fulfilled and prosperous lives.</t>
  </si>
  <si>
    <t>Schools Expenditure: Academies /cross-sector</t>
  </si>
  <si>
    <t>Student Loans</t>
  </si>
  <si>
    <t>2: Provide the skills pipeline needed to support a productive economy, fit for the future – through world leading technical and higher education</t>
  </si>
  <si>
    <t>16-19 Education &amp; T-Levels</t>
  </si>
  <si>
    <t>Early Years Childcare Funding</t>
  </si>
  <si>
    <t>3: Enable parents to access high quality early years education and childcare, to help parents back to work and provide children with the best start to their education</t>
  </si>
  <si>
    <t xml:space="preserve">Apprenticeships  </t>
  </si>
  <si>
    <t>Office for Students (incl. HE Participation Grants)</t>
  </si>
  <si>
    <t>Adult Skills &amp; Careers</t>
  </si>
  <si>
    <t>PFI Revenue Grants</t>
  </si>
  <si>
    <t>Qualifications &amp; Curriculum Development</t>
  </si>
  <si>
    <t>Corporate Services</t>
  </si>
  <si>
    <t>N/A</t>
  </si>
  <si>
    <t>Schools Oversight &amp; Improvement</t>
  </si>
  <si>
    <t>Children's Social Care Oversight</t>
  </si>
  <si>
    <t>4: Protect and support disadvantaged children and young people</t>
  </si>
  <si>
    <t>Schools Teacher Supply &amp; Development</t>
  </si>
  <si>
    <t>Student Loans Company</t>
  </si>
  <si>
    <t xml:space="preserve">Child Wellbeing </t>
  </si>
  <si>
    <t xml:space="preserve">Other </t>
  </si>
  <si>
    <t>Grand Total</t>
  </si>
  <si>
    <t>2019-20 CONTROL TOTALS</t>
  </si>
  <si>
    <t>DfE Parliamentary Voted Control Totals 2019-20</t>
  </si>
  <si>
    <t>RDEL</t>
  </si>
  <si>
    <t>CDEL</t>
  </si>
  <si>
    <t>RAME</t>
  </si>
  <si>
    <t xml:space="preserve">CAME </t>
  </si>
  <si>
    <t>Admin</t>
  </si>
  <si>
    <t>Programme</t>
  </si>
  <si>
    <t>TOTAL</t>
  </si>
  <si>
    <t>Resource</t>
  </si>
  <si>
    <t>Capital</t>
  </si>
  <si>
    <t>(1)</t>
  </si>
  <si>
    <t>(2)</t>
  </si>
  <si>
    <t>(3)</t>
  </si>
  <si>
    <t>(4)</t>
  </si>
  <si>
    <t>£000</t>
  </si>
  <si>
    <t>SR 15 Control Total - non ring-fenced</t>
  </si>
  <si>
    <t>SR control total rounding correction</t>
  </si>
  <si>
    <t>SR 15 Control Total - ring-fenced (depreciation)</t>
  </si>
  <si>
    <t>Control Totals at Main Estimate</t>
  </si>
  <si>
    <t>Changes during 2016-17</t>
  </si>
  <si>
    <t>Budget Day 2016</t>
  </si>
  <si>
    <t>Education School Reforms: Academisation</t>
  </si>
  <si>
    <t>Education School Reforms: National Funding Formula</t>
  </si>
  <si>
    <t>Northern Schools Package</t>
  </si>
  <si>
    <t>Mentoring</t>
  </si>
  <si>
    <t>Longer School Day</t>
  </si>
  <si>
    <t>Breakfast Club</t>
  </si>
  <si>
    <t>PE and Sport Premium</t>
  </si>
  <si>
    <t>Re-profiled capital for Education School Reform programme</t>
  </si>
  <si>
    <t>Other changes in 16-17 Main Estimate</t>
  </si>
  <si>
    <t>Changes to Depreciation</t>
  </si>
  <si>
    <t>AME budgets to match RDEL utilisation</t>
  </si>
  <si>
    <t>Budget Cover Transfers in Main Estimate 2016-17</t>
  </si>
  <si>
    <t>Transfer out to DoH (fruit and veg)</t>
  </si>
  <si>
    <t>Transfer out to Home Office (school security grant)</t>
  </si>
  <si>
    <t>Transfer In from DCMS ( GEO and EHRC)</t>
  </si>
  <si>
    <t>Autumn Statement 2016</t>
  </si>
  <si>
    <t>Return 2016 Academies Funding</t>
  </si>
  <si>
    <t xml:space="preserve">Re Profiling NFF </t>
  </si>
  <si>
    <t>Re Profiling Longer School Package</t>
  </si>
  <si>
    <t>Grammr School expansion</t>
  </si>
  <si>
    <t>Machinery of Government Change in 16-17 Supps</t>
  </si>
  <si>
    <t>Transfer of HE/FE from BEIS</t>
  </si>
  <si>
    <t>Transfer of HE/FE from BEIS - RAB charge /  depreciation</t>
  </si>
  <si>
    <t xml:space="preserve">Control total changes during 2016-17 </t>
  </si>
  <si>
    <t>Of which</t>
  </si>
  <si>
    <t>non-ringfenced</t>
  </si>
  <si>
    <t>ringfenced</t>
  </si>
  <si>
    <t>Control Totals at Supp Estimate as at 14 February 2017</t>
  </si>
  <si>
    <t xml:space="preserve">Of which </t>
  </si>
  <si>
    <t>Changes during 2017-18</t>
  </si>
  <si>
    <t>Main Estimates</t>
  </si>
  <si>
    <t>Budget Cover Transfers in Main Estimate 2017-18</t>
  </si>
  <si>
    <t>Budget Cover Transfer to Home Office for Syrian Refugees ESOL</t>
  </si>
  <si>
    <t>Machinery of Government Change - International programmes from BEIS</t>
  </si>
  <si>
    <t>Spring Budget 2017</t>
  </si>
  <si>
    <t>Technical Education - 936 hours</t>
  </si>
  <si>
    <t>Free Schools</t>
  </si>
  <si>
    <t>School Maintenance</t>
  </si>
  <si>
    <t>School Transport</t>
  </si>
  <si>
    <t>Midlands Skills Challenge</t>
  </si>
  <si>
    <t>GEO Returnships</t>
  </si>
  <si>
    <t>GEO Centenary Fund</t>
  </si>
  <si>
    <t>CDEL re-profile</t>
  </si>
  <si>
    <t>Doctoral Loans</t>
  </si>
  <si>
    <t>Part-time Maintenance Loans</t>
  </si>
  <si>
    <t>Control total changes during 2017-18</t>
  </si>
  <si>
    <t>2019-20 Control Total as at 17-18 Mains Estimate</t>
  </si>
  <si>
    <t>Changes at Spplementary Estimates 2017-18</t>
  </si>
  <si>
    <t>Transfers in</t>
  </si>
  <si>
    <t>Transfer in from BEIS Salix Energy Efficiency Fund</t>
  </si>
  <si>
    <t>NFF Funding savings</t>
  </si>
  <si>
    <t>Autumn Budget</t>
  </si>
  <si>
    <t xml:space="preserve">Capital re-profiling </t>
  </si>
  <si>
    <t>Teaching Quality for GCSE Maths</t>
  </si>
  <si>
    <t>Maths schools</t>
  </si>
  <si>
    <t>Teaching for Mastery (maths)</t>
  </si>
  <si>
    <t>Maths Premium for 16-19 year olds</t>
  </si>
  <si>
    <t>Computer Science teaching</t>
  </si>
  <si>
    <t>Support construction industry training schemes</t>
  </si>
  <si>
    <t>Digital Retraining pilot</t>
  </si>
  <si>
    <t>Unionlearn (50%)</t>
  </si>
  <si>
    <t>Teacher Development Premium</t>
  </si>
  <si>
    <t>Autumn Budget subtotal</t>
  </si>
  <si>
    <t>Budget Exchange from 17-18</t>
  </si>
  <si>
    <t>2019-20 Control Total as at 17-18 Supp Estimate</t>
  </si>
  <si>
    <t>Changes during 2018-19</t>
  </si>
  <si>
    <t>Budget Cover Transfers (BCT) in Main Estimate 2018-19</t>
  </si>
  <si>
    <t>MOG for research HEFCE to UKRI to BEIS</t>
  </si>
  <si>
    <t>MOG for GEO to Home Office</t>
  </si>
  <si>
    <t>MOg for EHRC to Home Officce</t>
  </si>
  <si>
    <t>MOG for EHRC to Home Officce</t>
  </si>
  <si>
    <t>Other changes</t>
  </si>
  <si>
    <t xml:space="preserve"> </t>
  </si>
  <si>
    <t>Control total changes during 2018-19 Mains</t>
  </si>
  <si>
    <t>2019-20 Control Total as at 18-19 Main Estimate</t>
  </si>
  <si>
    <t>Proposed changes for 18-19 Supplementary Estimate</t>
  </si>
  <si>
    <t>Increase in administration costs - budget exchange from 2018-19</t>
  </si>
  <si>
    <t>Budget Exchange surplus RDEL from 18-19 (appreticeships)</t>
  </si>
  <si>
    <t>Budget Day November 2018</t>
  </si>
  <si>
    <t>National Retraining scheme</t>
  </si>
  <si>
    <t>Targeted fund to keep families together (Children's social care)</t>
  </si>
  <si>
    <t>SME coinvestment (Apprenticeships)</t>
  </si>
  <si>
    <t>Skills pilots (Manchester)</t>
  </si>
  <si>
    <t>NEETs pilot (Manchester)</t>
  </si>
  <si>
    <t>Subtotal Budget Day Announcements</t>
  </si>
  <si>
    <t>Rounding adj to bring Control Tracker in line with OSCAR</t>
  </si>
  <si>
    <t>Control total changes in 2018-19 Supp Estimates</t>
  </si>
  <si>
    <t xml:space="preserve">2019-20 Control Total as at 18-19 Supps  Estimate </t>
  </si>
  <si>
    <t>19-20 Main Estimates</t>
  </si>
  <si>
    <t>Budget Cover Transfers (BCT) in Main Estimate 2019-20</t>
  </si>
  <si>
    <t xml:space="preserve">BCT to BEIS UKIERI  part of transfer to BEIS </t>
  </si>
  <si>
    <t>BCT to Cabinet Office - contribution towards Civil Service Live</t>
  </si>
  <si>
    <t xml:space="preserve">BCT to MHCLG for Local Growth Funding for Skills </t>
  </si>
  <si>
    <t>BCT to OFQUAL for Basic Skills</t>
  </si>
  <si>
    <t>BCT to OFQUAL for Apprenticeship Reform</t>
  </si>
  <si>
    <t xml:space="preserve">BCT to Cabinet Office - GEO corporate services.  </t>
  </si>
  <si>
    <t>BCT for CT Accelerator funds to Cabinet Office .</t>
  </si>
  <si>
    <t>BCT sub-total</t>
  </si>
  <si>
    <t>Other Changes</t>
  </si>
  <si>
    <t xml:space="preserve">Grant in Aid </t>
  </si>
  <si>
    <t xml:space="preserve">Academy AME </t>
  </si>
  <si>
    <t xml:space="preserve">Additional funding from HMT  - TP and CS pension uplift </t>
  </si>
  <si>
    <t xml:space="preserve">Rounding differences in 2019-20 Mains - adj in 2019-20 </t>
  </si>
  <si>
    <t>Control total changes in 2019-20 Main Estimates</t>
  </si>
  <si>
    <t>2019-20 Control Total as at 19-20 Main  Estimate</t>
  </si>
  <si>
    <t>Reconcilation to OSCAR data</t>
  </si>
  <si>
    <t>OSCAR Control Totals</t>
  </si>
  <si>
    <t>Differences (should be nil)</t>
  </si>
  <si>
    <t>Check split out the OSCAR CT into RF/NON RF so greyed out these rows while we check to overl CTs</t>
  </si>
  <si>
    <t>19-20 Supplementary Estimate</t>
  </si>
  <si>
    <t>Reserve Claim 19-20 Supps for Autumn Budget 18 and other announcements</t>
  </si>
  <si>
    <t>Institute for Apprenticeships</t>
  </si>
  <si>
    <t>Holocaust Commemoration Fund</t>
  </si>
  <si>
    <t>Battlefields Extension Programme</t>
  </si>
  <si>
    <t>Maths and phyics teacher regional trial</t>
  </si>
  <si>
    <t>Budget Day 18 sub-total</t>
  </si>
  <si>
    <t>Other agreed claims on the Reserve</t>
  </si>
  <si>
    <t xml:space="preserve">Student loans - RAB /impairment </t>
  </si>
  <si>
    <t>Student Loans changes - from reserve claim</t>
  </si>
  <si>
    <t>SLC Pension Scheme Transfer</t>
  </si>
  <si>
    <t>SL - Advanced Learner Loans write-off</t>
  </si>
  <si>
    <t>EU Exit Operational Contingency Fund - Tranche 1</t>
  </si>
  <si>
    <t>EU Exit Operational Contingency Fund - Tranche 2</t>
  </si>
  <si>
    <t>EU Exit Government Guarantee - National Agency Administration</t>
  </si>
  <si>
    <t>Cash management rebate (relating to 2018-19 cash performance)</t>
  </si>
  <si>
    <t>SR15 Reserve - Restructuring facility</t>
  </si>
  <si>
    <t>ICR Loan Sale - DFE Contracts</t>
  </si>
  <si>
    <t xml:space="preserve">Period Poverty funding </t>
  </si>
  <si>
    <t xml:space="preserve">Other agreed claims sub total </t>
  </si>
  <si>
    <t>Total potential Reserve Claims</t>
  </si>
  <si>
    <t>BCTs IN</t>
  </si>
  <si>
    <t>BCT from DHSC - expansion the medical students. Transfer for OfS</t>
  </si>
  <si>
    <t>BCT from HMT Security Intelligent Agency  for CT Accelerator</t>
  </si>
  <si>
    <t xml:space="preserve">BCT from HMT  - potentally PFI </t>
  </si>
  <si>
    <t xml:space="preserve">BCT from DCMS  - Al convension course (OfS) </t>
  </si>
  <si>
    <t xml:space="preserve">BCT from BEIS  - SALIX Energy </t>
  </si>
  <si>
    <t xml:space="preserve">BCT from MHCLG - purchase of site Chelsea &amp; Kensington.  </t>
  </si>
  <si>
    <t>BCTs OUT</t>
  </si>
  <si>
    <t>BCT to DHSC (PHE) - Improving speech and langauge training for disadvantaged children in the early years</t>
  </si>
  <si>
    <t>BCT to Ofsted shortfall as agreed as part of SR15,agreed annually - inspection grant</t>
  </si>
  <si>
    <t>BCT to OFSTED to cover continued delay of increase in Ofsted fees</t>
  </si>
  <si>
    <t xml:space="preserve">BCT to OFSTED  - Children in Care  </t>
  </si>
  <si>
    <t>BCT to OFQUAL - T Levels</t>
  </si>
  <si>
    <t>BCT to Cabinet Office for CSHR to conduct a T Level pilot</t>
  </si>
  <si>
    <t xml:space="preserve">BCT to OFQUAL  additional funds for Adult Education </t>
  </si>
  <si>
    <t>BCT to Ofsted Independent Schools Shortfall contribution</t>
  </si>
  <si>
    <t>BCT to Cabinet Office  contribution to the BI4BG Programme</t>
  </si>
  <si>
    <t>BCT to DEFRA  to deliver Nature Schools Programme</t>
  </si>
  <si>
    <t>BCT to HMT -  UKGI - Loan Sale Programme</t>
  </si>
  <si>
    <t>BCT to CO for mandatory Outsourcing Programme Implementation</t>
  </si>
  <si>
    <t xml:space="preserve">BCT to HO </t>
  </si>
  <si>
    <t>BCT to Ofqual for funding of technical evaluation of resubmissions (Functional Skills Business Case)</t>
  </si>
  <si>
    <t>BCT to Ofqual for digital functional skills</t>
  </si>
  <si>
    <t>BCT to OFQUAL  additional funds for Ofqual capital</t>
  </si>
  <si>
    <t xml:space="preserve">BCT to CO centralised movement of SPADs to Cabinet Office </t>
  </si>
  <si>
    <t>BCTs subtotal</t>
  </si>
  <si>
    <t>HMT approved Budget switch from Capital to Admin</t>
  </si>
  <si>
    <t>HMT approved Budget switch from Admin to Programme</t>
  </si>
  <si>
    <t>HMT approved Budget switch from Capital to Prog</t>
  </si>
  <si>
    <t xml:space="preserve">HMT approved Budget switch from Capital to Prog (School Temp Leases) </t>
  </si>
  <si>
    <r>
      <rPr>
        <b/>
        <sz val="11"/>
        <color theme="1"/>
        <rFont val="Calibri"/>
        <family val="2"/>
        <scheme val="minor"/>
      </rPr>
      <t>Additional</t>
    </r>
    <r>
      <rPr>
        <sz val="11"/>
        <color theme="1"/>
        <rFont val="Calibri"/>
        <family val="2"/>
        <scheme val="minor"/>
      </rPr>
      <t xml:space="preserve"> Academies RDEL  and CDEL expenditure (from DFE) </t>
    </r>
  </si>
  <si>
    <r>
      <rPr>
        <b/>
        <sz val="11"/>
        <color theme="1"/>
        <rFont val="Calibri"/>
        <family val="2"/>
        <scheme val="minor"/>
      </rPr>
      <t>Budget Surrender 19-20</t>
    </r>
    <r>
      <rPr>
        <sz val="11"/>
        <color theme="1"/>
        <rFont val="Calibri"/>
        <family val="2"/>
        <scheme val="minor"/>
      </rPr>
      <t xml:space="preserve">  - Apprenticeships</t>
    </r>
  </si>
  <si>
    <t>SWE additional grant in aid  (taken from additional creditor value)</t>
  </si>
  <si>
    <t xml:space="preserve">additional creditor value for movement of supply </t>
  </si>
  <si>
    <t>Other changes subtotal</t>
  </si>
  <si>
    <r>
      <t xml:space="preserve">Control total </t>
    </r>
    <r>
      <rPr>
        <b/>
        <sz val="11"/>
        <color theme="1"/>
        <rFont val="Calibri"/>
        <family val="2"/>
        <scheme val="minor"/>
      </rPr>
      <t xml:space="preserve">changes </t>
    </r>
    <r>
      <rPr>
        <sz val="11"/>
        <color theme="1"/>
        <rFont val="Calibri"/>
        <family val="2"/>
        <scheme val="minor"/>
      </rPr>
      <t>in 2019-20 Supp Estimates</t>
    </r>
  </si>
  <si>
    <t xml:space="preserve">2019-20 Control Total as at 19-20 Supp Estimate </t>
  </si>
  <si>
    <t>CHECK TOTAL</t>
  </si>
  <si>
    <t>EC15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</si>
</sst>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;\(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1" xfId="0" applyFont="1" applyFill="1" applyBorder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164" fontId="3" fillId="0" borderId="6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164" fontId="2" fillId="0" borderId="8" xfId="0" applyNumberFormat="1" applyFont="1" applyBorder="1"/>
    <xf numFmtId="0" fontId="2" fillId="2" borderId="9" xfId="0" applyFont="1" applyFill="1" applyBorder="1"/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  <xf numFmtId="0" fontId="0" fillId="0" borderId="12" xfId="0" applyBorder="1"/>
    <xf numFmtId="0" fontId="5" fillId="8" borderId="0" xfId="0" applyFont="1" applyFill="1"/>
    <xf numFmtId="0" fontId="5" fillId="0" borderId="0" xfId="0" applyFont="1"/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0" fillId="0" borderId="17" xfId="0" applyBorder="1"/>
    <xf numFmtId="0" fontId="2" fillId="3" borderId="18" xfId="0" applyFont="1" applyFill="1" applyBorder="1" applyAlignment="1">
      <alignment horizontal="center"/>
    </xf>
    <xf numFmtId="0" fontId="2" fillId="3" borderId="18" xfId="0" quotePrefix="1" applyFont="1" applyFill="1" applyBorder="1" applyAlignment="1">
      <alignment horizontal="center"/>
    </xf>
    <xf numFmtId="6" fontId="2" fillId="3" borderId="19" xfId="0" quotePrefix="1" applyNumberFormat="1" applyFont="1" applyFill="1" applyBorder="1" applyAlignment="1">
      <alignment horizontal="center"/>
    </xf>
    <xf numFmtId="0" fontId="0" fillId="0" borderId="13" xfId="0" applyBorder="1" applyAlignment="1">
      <alignment wrapText="1"/>
    </xf>
    <xf numFmtId="165" fontId="2" fillId="3" borderId="17" xfId="1" applyNumberFormat="1" applyFont="1" applyFill="1" applyBorder="1" applyAlignment="1">
      <alignment horizontal="right"/>
    </xf>
    <xf numFmtId="165" fontId="2" fillId="3" borderId="16" xfId="1" applyNumberFormat="1" applyFont="1" applyFill="1" applyBorder="1" applyAlignment="1">
      <alignment horizontal="right"/>
    </xf>
    <xf numFmtId="166" fontId="2" fillId="3" borderId="18" xfId="0" applyNumberFormat="1" applyFont="1" applyFill="1" applyBorder="1" applyAlignment="1">
      <alignment horizontal="right"/>
    </xf>
    <xf numFmtId="165" fontId="2" fillId="3" borderId="0" xfId="1" applyNumberFormat="1" applyFont="1" applyFill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0" fillId="0" borderId="17" xfId="0" applyBorder="1" applyAlignment="1">
      <alignment wrapText="1"/>
    </xf>
    <xf numFmtId="165" fontId="2" fillId="3" borderId="18" xfId="1" applyNumberFormat="1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0" fillId="0" borderId="17" xfId="0" applyBorder="1" applyAlignment="1">
      <alignment horizontal="left" wrapText="1"/>
    </xf>
    <xf numFmtId="166" fontId="2" fillId="3" borderId="0" xfId="0" applyNumberFormat="1" applyFont="1" applyFill="1" applyAlignment="1">
      <alignment horizontal="right"/>
    </xf>
    <xf numFmtId="0" fontId="2" fillId="0" borderId="13" xfId="0" applyFont="1" applyBorder="1" applyAlignment="1">
      <alignment wrapText="1"/>
    </xf>
    <xf numFmtId="166" fontId="2" fillId="3" borderId="20" xfId="1" applyNumberFormat="1" applyFont="1" applyFill="1" applyBorder="1" applyAlignment="1">
      <alignment horizontal="right"/>
    </xf>
    <xf numFmtId="166" fontId="2" fillId="3" borderId="7" xfId="1" applyNumberFormat="1" applyFont="1" applyFill="1" applyBorder="1" applyAlignment="1">
      <alignment horizontal="right"/>
    </xf>
    <xf numFmtId="166" fontId="2" fillId="3" borderId="21" xfId="1" applyNumberFormat="1" applyFont="1" applyFill="1" applyBorder="1" applyAlignment="1">
      <alignment horizontal="right"/>
    </xf>
    <xf numFmtId="0" fontId="0" fillId="0" borderId="16" xfId="0" applyBorder="1" applyAlignment="1">
      <alignment wrapText="1"/>
    </xf>
    <xf numFmtId="166" fontId="0" fillId="3" borderId="17" xfId="1" applyNumberFormat="1" applyFont="1" applyFill="1" applyBorder="1"/>
    <xf numFmtId="166" fontId="0" fillId="3" borderId="18" xfId="1" applyNumberFormat="1" applyFont="1" applyFill="1" applyBorder="1"/>
    <xf numFmtId="166" fontId="0" fillId="3" borderId="0" xfId="1" applyNumberFormat="1" applyFont="1" applyFill="1"/>
    <xf numFmtId="0" fontId="0" fillId="0" borderId="18" xfId="0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66" fontId="0" fillId="3" borderId="17" xfId="1" applyNumberFormat="1" applyFont="1" applyFill="1" applyBorder="1" applyAlignment="1">
      <alignment vertical="center"/>
    </xf>
    <xf numFmtId="166" fontId="0" fillId="3" borderId="18" xfId="1" applyNumberFormat="1" applyFont="1" applyFill="1" applyBorder="1" applyAlignment="1">
      <alignment vertical="center"/>
    </xf>
    <xf numFmtId="166" fontId="0" fillId="3" borderId="0" xfId="1" applyNumberFormat="1" applyFont="1" applyFill="1" applyAlignment="1">
      <alignment vertical="center"/>
    </xf>
    <xf numFmtId="0" fontId="6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66" fontId="2" fillId="3" borderId="17" xfId="1" applyNumberFormat="1" applyFont="1" applyFill="1" applyBorder="1" applyAlignment="1">
      <alignment vertical="center"/>
    </xf>
    <xf numFmtId="166" fontId="1" fillId="3" borderId="18" xfId="1" applyNumberFormat="1" applyFill="1" applyBorder="1" applyAlignment="1">
      <alignment vertical="center"/>
    </xf>
    <xf numFmtId="166" fontId="1" fillId="3" borderId="0" xfId="1" applyNumberFormat="1" applyFill="1" applyAlignment="1">
      <alignment vertical="center"/>
    </xf>
    <xf numFmtId="166" fontId="2" fillId="3" borderId="18" xfId="1" applyNumberFormat="1" applyFont="1" applyFill="1" applyBorder="1" applyAlignment="1">
      <alignment vertical="center"/>
    </xf>
    <xf numFmtId="166" fontId="2" fillId="3" borderId="0" xfId="1" applyNumberFormat="1" applyFont="1" applyFill="1" applyAlignment="1">
      <alignment vertical="center"/>
    </xf>
    <xf numFmtId="166" fontId="9" fillId="3" borderId="17" xfId="1" applyNumberFormat="1" applyFont="1" applyFill="1" applyBorder="1" applyAlignment="1">
      <alignment vertical="center"/>
    </xf>
    <xf numFmtId="166" fontId="9" fillId="3" borderId="18" xfId="1" applyNumberFormat="1" applyFont="1" applyFill="1" applyBorder="1" applyAlignment="1">
      <alignment vertical="center"/>
    </xf>
    <xf numFmtId="166" fontId="9" fillId="3" borderId="0" xfId="1" applyNumberFormat="1" applyFont="1" applyFill="1" applyAlignment="1">
      <alignment vertical="center"/>
    </xf>
    <xf numFmtId="166" fontId="1" fillId="3" borderId="17" xfId="1" applyNumberFormat="1" applyFill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166" fontId="2" fillId="3" borderId="22" xfId="1" applyNumberFormat="1" applyFont="1" applyFill="1" applyBorder="1" applyAlignment="1">
      <alignment vertical="center"/>
    </xf>
    <xf numFmtId="166" fontId="2" fillId="3" borderId="16" xfId="1" applyNumberFormat="1" applyFont="1" applyFill="1" applyBorder="1" applyAlignment="1">
      <alignment vertical="center"/>
    </xf>
    <xf numFmtId="166" fontId="2" fillId="3" borderId="20" xfId="1" applyNumberFormat="1" applyFont="1" applyFill="1" applyBorder="1" applyAlignment="1">
      <alignment vertical="center"/>
    </xf>
    <xf numFmtId="166" fontId="2" fillId="3" borderId="7" xfId="1" applyNumberFormat="1" applyFont="1" applyFill="1" applyBorder="1" applyAlignment="1">
      <alignment vertical="center"/>
    </xf>
    <xf numFmtId="166" fontId="2" fillId="3" borderId="21" xfId="1" applyNumberFormat="1" applyFont="1" applyFill="1" applyBorder="1" applyAlignment="1">
      <alignment vertical="center"/>
    </xf>
    <xf numFmtId="0" fontId="0" fillId="0" borderId="23" xfId="0" applyBorder="1" applyAlignment="1">
      <alignment vertical="center" wrapText="1"/>
    </xf>
    <xf numFmtId="166" fontId="0" fillId="3" borderId="24" xfId="1" applyNumberFormat="1" applyFont="1" applyFill="1" applyBorder="1" applyAlignment="1">
      <alignment vertical="center"/>
    </xf>
    <xf numFmtId="166" fontId="0" fillId="3" borderId="23" xfId="1" applyNumberFormat="1" applyFont="1" applyFill="1" applyBorder="1" applyAlignment="1">
      <alignment vertical="center"/>
    </xf>
    <xf numFmtId="166" fontId="0" fillId="3" borderId="5" xfId="1" applyNumberFormat="1" applyFont="1" applyFill="1" applyBorder="1" applyAlignment="1">
      <alignment vertical="center"/>
    </xf>
    <xf numFmtId="166" fontId="0" fillId="3" borderId="18" xfId="0" applyNumberForma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166" fontId="0" fillId="3" borderId="17" xfId="0" applyNumberFormat="1" applyFill="1" applyBorder="1" applyAlignment="1">
      <alignment vertical="center"/>
    </xf>
    <xf numFmtId="166" fontId="2" fillId="3" borderId="16" xfId="0" applyNumberFormat="1" applyFont="1" applyFill="1" applyBorder="1" applyAlignment="1">
      <alignment vertical="center"/>
    </xf>
    <xf numFmtId="166" fontId="9" fillId="3" borderId="17" xfId="0" applyNumberFormat="1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166" fontId="0" fillId="3" borderId="18" xfId="0" applyNumberFormat="1" applyFill="1" applyBorder="1"/>
    <xf numFmtId="0" fontId="8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9" fillId="0" borderId="18" xfId="0" applyFont="1" applyBorder="1" applyAlignment="1">
      <alignment wrapText="1"/>
    </xf>
    <xf numFmtId="166" fontId="9" fillId="3" borderId="16" xfId="0" applyNumberFormat="1" applyFont="1" applyFill="1" applyBorder="1"/>
    <xf numFmtId="166" fontId="9" fillId="3" borderId="18" xfId="0" applyNumberFormat="1" applyFont="1" applyFill="1" applyBorder="1" applyAlignment="1">
      <alignment vertical="center"/>
    </xf>
    <xf numFmtId="0" fontId="0" fillId="3" borderId="18" xfId="0" applyFill="1" applyBorder="1"/>
    <xf numFmtId="0" fontId="2" fillId="0" borderId="17" xfId="0" applyFont="1" applyBorder="1" applyAlignment="1">
      <alignment vertical="center" wrapText="1"/>
    </xf>
    <xf numFmtId="0" fontId="0" fillId="3" borderId="16" xfId="0" applyFill="1" applyBorder="1"/>
    <xf numFmtId="0" fontId="0" fillId="0" borderId="0" xfId="0" applyAlignment="1">
      <alignment wrapText="1"/>
    </xf>
    <xf numFmtId="0" fontId="8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166" fontId="0" fillId="3" borderId="19" xfId="1" applyNumberFormat="1" applyFont="1" applyFill="1" applyBorder="1" applyAlignment="1">
      <alignment vertical="center"/>
    </xf>
    <xf numFmtId="166" fontId="0" fillId="3" borderId="16" xfId="1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66" fontId="2" fillId="3" borderId="19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166" fontId="9" fillId="3" borderId="16" xfId="1" applyNumberFormat="1" applyFon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9" fillId="3" borderId="19" xfId="0" applyNumberFormat="1" applyFont="1" applyFill="1" applyBorder="1" applyAlignment="1">
      <alignment vertical="center"/>
    </xf>
    <xf numFmtId="166" fontId="7" fillId="3" borderId="18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25" xfId="0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0" fillId="0" borderId="25" xfId="0" applyBorder="1" applyAlignment="1">
      <alignment wrapText="1"/>
    </xf>
    <xf numFmtId="0" fontId="2" fillId="9" borderId="15" xfId="0" applyFont="1" applyFill="1" applyBorder="1" applyAlignment="1">
      <alignment vertical="center" wrapText="1"/>
    </xf>
    <xf numFmtId="166" fontId="2" fillId="9" borderId="16" xfId="0" applyNumberFormat="1" applyFont="1" applyFill="1" applyBorder="1" applyAlignment="1">
      <alignment vertical="center"/>
    </xf>
    <xf numFmtId="166" fontId="0" fillId="5" borderId="18" xfId="1" applyNumberFormat="1" applyFont="1" applyFill="1" applyBorder="1" applyAlignment="1">
      <alignment vertical="center"/>
    </xf>
    <xf numFmtId="166" fontId="9" fillId="10" borderId="18" xfId="1" applyNumberFormat="1" applyFont="1" applyFill="1" applyBorder="1" applyAlignment="1">
      <alignment vertical="center"/>
    </xf>
    <xf numFmtId="166" fontId="9" fillId="10" borderId="19" xfId="1" applyNumberFormat="1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166" fontId="0" fillId="3" borderId="18" xfId="1" applyNumberFormat="1" applyFont="1" applyFill="1" applyBorder="1" applyAlignment="1"/>
    <xf numFmtId="166" fontId="12" fillId="3" borderId="18" xfId="1" applyNumberFormat="1" applyFont="1" applyFill="1" applyBorder="1" applyAlignment="1">
      <alignment vertical="center"/>
    </xf>
    <xf numFmtId="166" fontId="12" fillId="3" borderId="16" xfId="1" applyNumberFormat="1" applyFont="1" applyFill="1" applyBorder="1" applyAlignment="1">
      <alignment vertical="center"/>
    </xf>
    <xf numFmtId="166" fontId="9" fillId="3" borderId="16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17" xfId="0" applyFont="1" applyBorder="1" applyAlignment="1">
      <alignment vertical="center" wrapText="1"/>
    </xf>
    <xf numFmtId="0" fontId="2" fillId="11" borderId="18" xfId="0" applyFont="1" applyFill="1" applyBorder="1" applyAlignment="1">
      <alignment vertical="center" wrapText="1"/>
    </xf>
    <xf numFmtId="166" fontId="0" fillId="11" borderId="18" xfId="1" applyNumberFormat="1" applyFont="1" applyFill="1" applyBorder="1" applyAlignment="1">
      <alignment vertical="center"/>
    </xf>
    <xf numFmtId="0" fontId="9" fillId="0" borderId="0" xfId="0" applyFont="1"/>
    <xf numFmtId="0" fontId="2" fillId="0" borderId="19" xfId="0" applyFont="1" applyBorder="1" applyAlignment="1">
      <alignment vertical="center"/>
    </xf>
    <xf numFmtId="0" fontId="15" fillId="0" borderId="0" xfId="0" applyFont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0"/>
  <sheetViews>
    <sheetView workbookViewId="0">
      <selection activeCell="B22" sqref="B22"/>
    </sheetView>
  </sheetViews>
  <sheetFormatPr defaultRowHeight="14.5" x14ac:dyDescent="0.35"/>
  <cols>
    <col min="2" max="2" width="45" customWidth="1"/>
    <col min="4" max="4" width="58.81640625" customWidth="1"/>
  </cols>
  <sheetData>
    <row r="1" spans="2:4" ht="15" thickBot="1" x14ac:dyDescent="0.4"/>
    <row r="2" spans="2:4" ht="15" thickBot="1" x14ac:dyDescent="0.4">
      <c r="B2" s="1" t="s">
        <v>0</v>
      </c>
      <c r="C2" s="5" t="s">
        <v>1</v>
      </c>
      <c r="D2" s="9" t="s">
        <v>2</v>
      </c>
    </row>
    <row r="3" spans="2:4" ht="22" x14ac:dyDescent="0.35">
      <c r="B3" s="2" t="s">
        <v>3</v>
      </c>
      <c r="C3" s="6">
        <v>24140.901999999998</v>
      </c>
      <c r="D3" s="10" t="s">
        <v>4</v>
      </c>
    </row>
    <row r="4" spans="2:4" ht="22" x14ac:dyDescent="0.35">
      <c r="B4" s="3" t="s">
        <v>5</v>
      </c>
      <c r="C4" s="7">
        <v>21064.7</v>
      </c>
      <c r="D4" s="11" t="s">
        <v>4</v>
      </c>
    </row>
    <row r="5" spans="2:4" ht="22" x14ac:dyDescent="0.35">
      <c r="B5" s="3" t="s">
        <v>6</v>
      </c>
      <c r="C5" s="7">
        <v>16966.099999999999</v>
      </c>
      <c r="D5" s="12" t="s">
        <v>7</v>
      </c>
    </row>
    <row r="6" spans="2:4" ht="22" x14ac:dyDescent="0.35">
      <c r="B6" s="3" t="s">
        <v>8</v>
      </c>
      <c r="C6" s="7">
        <v>6180.5479999999998</v>
      </c>
      <c r="D6" s="11" t="s">
        <v>4</v>
      </c>
    </row>
    <row r="7" spans="2:4" ht="22" x14ac:dyDescent="0.35">
      <c r="B7" s="3" t="s">
        <v>9</v>
      </c>
      <c r="C7" s="7">
        <v>3638.5</v>
      </c>
      <c r="D7" s="13" t="s">
        <v>10</v>
      </c>
    </row>
    <row r="8" spans="2:4" ht="22" x14ac:dyDescent="0.35">
      <c r="B8" s="3" t="s">
        <v>11</v>
      </c>
      <c r="C8" s="7">
        <v>2173.8710000000001</v>
      </c>
      <c r="D8" s="12" t="s">
        <v>7</v>
      </c>
    </row>
    <row r="9" spans="2:4" ht="22" x14ac:dyDescent="0.35">
      <c r="B9" s="3" t="s">
        <v>12</v>
      </c>
      <c r="C9" s="7">
        <v>1964.848</v>
      </c>
      <c r="D9" s="12" t="s">
        <v>7</v>
      </c>
    </row>
    <row r="10" spans="2:4" ht="22" x14ac:dyDescent="0.35">
      <c r="B10" s="3" t="s">
        <v>13</v>
      </c>
      <c r="C10" s="7">
        <v>1516.5</v>
      </c>
      <c r="D10" s="12" t="s">
        <v>7</v>
      </c>
    </row>
    <row r="11" spans="2:4" ht="22" x14ac:dyDescent="0.35">
      <c r="B11" s="3" t="s">
        <v>14</v>
      </c>
      <c r="C11" s="7">
        <v>803.49199999999996</v>
      </c>
      <c r="D11" s="11" t="s">
        <v>4</v>
      </c>
    </row>
    <row r="12" spans="2:4" ht="22" x14ac:dyDescent="0.35">
      <c r="B12" s="3" t="s">
        <v>15</v>
      </c>
      <c r="C12" s="7">
        <v>585.68679000000009</v>
      </c>
      <c r="D12" s="11" t="s">
        <v>4</v>
      </c>
    </row>
    <row r="13" spans="2:4" x14ac:dyDescent="0.35">
      <c r="B13" s="3" t="s">
        <v>16</v>
      </c>
      <c r="C13" s="7">
        <v>563.34100000000001</v>
      </c>
      <c r="D13" s="14" t="s">
        <v>17</v>
      </c>
    </row>
    <row r="14" spans="2:4" ht="22" x14ac:dyDescent="0.35">
      <c r="B14" s="3" t="s">
        <v>18</v>
      </c>
      <c r="C14" s="7">
        <v>504.5</v>
      </c>
      <c r="D14" s="11" t="s">
        <v>4</v>
      </c>
    </row>
    <row r="15" spans="2:4" x14ac:dyDescent="0.35">
      <c r="B15" s="3" t="s">
        <v>19</v>
      </c>
      <c r="C15" s="7">
        <v>293.803</v>
      </c>
      <c r="D15" s="15" t="s">
        <v>20</v>
      </c>
    </row>
    <row r="16" spans="2:4" ht="22" x14ac:dyDescent="0.35">
      <c r="B16" s="3" t="s">
        <v>21</v>
      </c>
      <c r="C16" s="7">
        <v>275.80799999999999</v>
      </c>
      <c r="D16" s="11" t="s">
        <v>4</v>
      </c>
    </row>
    <row r="17" spans="2:4" ht="22" x14ac:dyDescent="0.35">
      <c r="B17" s="3" t="s">
        <v>22</v>
      </c>
      <c r="C17" s="7">
        <v>155.48897700000001</v>
      </c>
      <c r="D17" s="12" t="s">
        <v>7</v>
      </c>
    </row>
    <row r="18" spans="2:4" x14ac:dyDescent="0.35">
      <c r="B18" s="3" t="s">
        <v>23</v>
      </c>
      <c r="C18" s="7">
        <v>82.986999999999995</v>
      </c>
      <c r="D18" s="15" t="s">
        <v>20</v>
      </c>
    </row>
    <row r="19" spans="2:4" x14ac:dyDescent="0.35">
      <c r="B19" s="3" t="s">
        <v>24</v>
      </c>
      <c r="C19" s="7">
        <v>30.129000000000001</v>
      </c>
      <c r="D19" s="14" t="s">
        <v>17</v>
      </c>
    </row>
    <row r="20" spans="2:4" ht="15" thickBot="1" x14ac:dyDescent="0.4">
      <c r="B20" s="4" t="s">
        <v>25</v>
      </c>
      <c r="C20" s="8">
        <v>80941.051999999996</v>
      </c>
      <c r="D20" s="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3"/>
  <sheetViews>
    <sheetView tabSelected="1" workbookViewId="0">
      <selection activeCell="J10" sqref="J10"/>
    </sheetView>
  </sheetViews>
  <sheetFormatPr defaultRowHeight="14.5" x14ac:dyDescent="0.35"/>
  <cols>
    <col min="2" max="2" width="40.54296875" customWidth="1"/>
    <col min="4" max="4" width="11.54296875" bestFit="1" customWidth="1"/>
    <col min="5" max="5" width="10.7265625" bestFit="1" customWidth="1"/>
    <col min="6" max="6" width="11.26953125" bestFit="1" customWidth="1"/>
    <col min="7" max="7" width="11.1796875" bestFit="1" customWidth="1"/>
    <col min="8" max="8" width="10.7265625" bestFit="1" customWidth="1"/>
  </cols>
  <sheetData>
    <row r="1" spans="2:8" ht="18.5" x14ac:dyDescent="0.45">
      <c r="H1" s="126" t="s">
        <v>216</v>
      </c>
    </row>
    <row r="2" spans="2:8" ht="15.5" x14ac:dyDescent="0.35">
      <c r="B2" s="17" t="s">
        <v>26</v>
      </c>
      <c r="C2" s="18"/>
      <c r="D2" s="18"/>
    </row>
    <row r="3" spans="2:8" x14ac:dyDescent="0.35">
      <c r="C3" s="127" t="s">
        <v>27</v>
      </c>
      <c r="D3" s="128"/>
      <c r="E3" s="128"/>
      <c r="F3" s="128"/>
      <c r="G3" s="128"/>
      <c r="H3" s="128"/>
    </row>
    <row r="4" spans="2:8" x14ac:dyDescent="0.35">
      <c r="B4" s="19"/>
      <c r="C4" s="20" t="s">
        <v>28</v>
      </c>
      <c r="D4" s="20" t="s">
        <v>28</v>
      </c>
      <c r="E4" s="20" t="s">
        <v>28</v>
      </c>
      <c r="F4" s="20" t="s">
        <v>29</v>
      </c>
      <c r="G4" s="20" t="s">
        <v>30</v>
      </c>
      <c r="H4" s="20" t="s">
        <v>31</v>
      </c>
    </row>
    <row r="5" spans="2:8" x14ac:dyDescent="0.35">
      <c r="B5" s="21"/>
      <c r="C5" s="22" t="s">
        <v>32</v>
      </c>
      <c r="D5" s="22" t="s">
        <v>33</v>
      </c>
      <c r="E5" s="22" t="s">
        <v>34</v>
      </c>
      <c r="F5" s="22" t="s">
        <v>33</v>
      </c>
      <c r="G5" s="22" t="s">
        <v>35</v>
      </c>
      <c r="H5" s="22" t="s">
        <v>36</v>
      </c>
    </row>
    <row r="6" spans="2:8" x14ac:dyDescent="0.35">
      <c r="B6" s="21"/>
      <c r="C6" s="22"/>
      <c r="D6" s="22"/>
      <c r="E6" s="23" t="s">
        <v>37</v>
      </c>
      <c r="F6" s="23" t="s">
        <v>38</v>
      </c>
      <c r="G6" s="23" t="s">
        <v>39</v>
      </c>
      <c r="H6" s="23" t="s">
        <v>40</v>
      </c>
    </row>
    <row r="7" spans="2:8" x14ac:dyDescent="0.35">
      <c r="B7" s="21"/>
      <c r="C7" s="24" t="s">
        <v>41</v>
      </c>
      <c r="D7" s="24" t="s">
        <v>41</v>
      </c>
      <c r="E7" s="24" t="s">
        <v>41</v>
      </c>
      <c r="F7" s="24" t="s">
        <v>41</v>
      </c>
      <c r="G7" s="24" t="s">
        <v>41</v>
      </c>
      <c r="H7" s="24" t="s">
        <v>41</v>
      </c>
    </row>
    <row r="8" spans="2:8" x14ac:dyDescent="0.35">
      <c r="B8" s="25" t="s">
        <v>42</v>
      </c>
      <c r="C8" s="26">
        <v>270933</v>
      </c>
      <c r="D8" s="27">
        <v>56733350</v>
      </c>
      <c r="E8" s="28">
        <f>+C8+D8</f>
        <v>57004283</v>
      </c>
      <c r="F8" s="29">
        <v>4441000</v>
      </c>
      <c r="G8" s="30"/>
      <c r="H8" s="30"/>
    </row>
    <row r="9" spans="2:8" x14ac:dyDescent="0.35">
      <c r="B9" s="31" t="s">
        <v>43</v>
      </c>
      <c r="C9" s="29">
        <v>483</v>
      </c>
      <c r="D9" s="32"/>
      <c r="E9" s="28">
        <f>+C9+D9</f>
        <v>483</v>
      </c>
      <c r="F9" s="29"/>
      <c r="G9" s="33"/>
      <c r="H9" s="33"/>
    </row>
    <row r="10" spans="2:8" x14ac:dyDescent="0.35">
      <c r="B10" s="34" t="s">
        <v>44</v>
      </c>
      <c r="C10" s="35">
        <v>23000</v>
      </c>
      <c r="D10" s="28">
        <v>3000</v>
      </c>
      <c r="E10" s="28">
        <f>+C10+D10</f>
        <v>26000</v>
      </c>
      <c r="F10" s="35"/>
      <c r="G10" s="28"/>
      <c r="H10" s="28"/>
    </row>
    <row r="11" spans="2:8" x14ac:dyDescent="0.35">
      <c r="B11" s="36" t="s">
        <v>45</v>
      </c>
      <c r="C11" s="37">
        <f>+C8+C9+ C10</f>
        <v>294416</v>
      </c>
      <c r="D11" s="38">
        <f t="shared" ref="D11:H11" si="0">+D8+D9+ D10</f>
        <v>56736350</v>
      </c>
      <c r="E11" s="38">
        <f t="shared" si="0"/>
        <v>57030766</v>
      </c>
      <c r="F11" s="39">
        <f t="shared" si="0"/>
        <v>4441000</v>
      </c>
      <c r="G11" s="38">
        <f t="shared" si="0"/>
        <v>0</v>
      </c>
      <c r="H11" s="38">
        <f t="shared" si="0"/>
        <v>0</v>
      </c>
    </row>
    <row r="12" spans="2:8" x14ac:dyDescent="0.35">
      <c r="B12" s="40"/>
      <c r="C12" s="41"/>
      <c r="D12" s="42"/>
      <c r="E12" s="42"/>
      <c r="F12" s="43"/>
      <c r="G12" s="42"/>
      <c r="H12" s="42"/>
    </row>
    <row r="13" spans="2:8" x14ac:dyDescent="0.35">
      <c r="B13" s="44"/>
      <c r="C13" s="41"/>
      <c r="D13" s="42"/>
      <c r="E13" s="42"/>
      <c r="F13" s="43"/>
      <c r="G13" s="42"/>
      <c r="H13" s="42"/>
    </row>
    <row r="14" spans="2:8" x14ac:dyDescent="0.35">
      <c r="B14" s="45" t="s">
        <v>46</v>
      </c>
      <c r="C14" s="46"/>
      <c r="D14" s="47"/>
      <c r="E14" s="47"/>
      <c r="F14" s="48"/>
      <c r="G14" s="47"/>
      <c r="H14" s="47"/>
    </row>
    <row r="15" spans="2:8" x14ac:dyDescent="0.35">
      <c r="B15" s="49" t="s">
        <v>47</v>
      </c>
      <c r="C15" s="46"/>
      <c r="D15" s="47"/>
      <c r="E15" s="47"/>
      <c r="F15" s="48"/>
      <c r="G15" s="47"/>
      <c r="H15" s="47"/>
    </row>
    <row r="16" spans="2:8" x14ac:dyDescent="0.35">
      <c r="B16" s="44" t="s">
        <v>48</v>
      </c>
      <c r="C16" s="46"/>
      <c r="D16" s="47">
        <v>43000</v>
      </c>
      <c r="E16" s="47">
        <f t="shared" ref="E16:E43" si="1">+C16+D16</f>
        <v>43000</v>
      </c>
      <c r="F16" s="48"/>
      <c r="G16" s="47"/>
      <c r="H16" s="47"/>
    </row>
    <row r="17" spans="2:8" ht="29" x14ac:dyDescent="0.35">
      <c r="B17" s="44" t="s">
        <v>49</v>
      </c>
      <c r="C17" s="46"/>
      <c r="D17" s="47">
        <v>51000</v>
      </c>
      <c r="E17" s="47">
        <f t="shared" si="1"/>
        <v>51000</v>
      </c>
      <c r="F17" s="48"/>
      <c r="G17" s="47"/>
      <c r="H17" s="47"/>
    </row>
    <row r="18" spans="2:8" x14ac:dyDescent="0.35">
      <c r="B18" s="44" t="s">
        <v>50</v>
      </c>
      <c r="C18" s="46"/>
      <c r="D18" s="47">
        <v>18500</v>
      </c>
      <c r="E18" s="47">
        <f t="shared" si="1"/>
        <v>18500</v>
      </c>
      <c r="F18" s="48"/>
      <c r="G18" s="47"/>
      <c r="H18" s="47"/>
    </row>
    <row r="19" spans="2:8" x14ac:dyDescent="0.35">
      <c r="B19" s="44" t="s">
        <v>51</v>
      </c>
      <c r="C19" s="46"/>
      <c r="D19" s="47">
        <v>3000</v>
      </c>
      <c r="E19" s="47">
        <f t="shared" si="1"/>
        <v>3000</v>
      </c>
      <c r="F19" s="48"/>
      <c r="G19" s="47"/>
      <c r="H19" s="47"/>
    </row>
    <row r="20" spans="2:8" x14ac:dyDescent="0.35">
      <c r="B20" s="44" t="s">
        <v>52</v>
      </c>
      <c r="C20" s="46"/>
      <c r="D20" s="47">
        <v>285000</v>
      </c>
      <c r="E20" s="47">
        <f t="shared" si="1"/>
        <v>285000</v>
      </c>
      <c r="F20" s="48"/>
      <c r="G20" s="47"/>
      <c r="H20" s="47"/>
    </row>
    <row r="21" spans="2:8" x14ac:dyDescent="0.35">
      <c r="B21" s="44" t="s">
        <v>53</v>
      </c>
      <c r="C21" s="46"/>
      <c r="D21" s="47">
        <v>10000</v>
      </c>
      <c r="E21" s="47">
        <f t="shared" si="1"/>
        <v>10000</v>
      </c>
      <c r="F21" s="48"/>
      <c r="G21" s="47"/>
      <c r="H21" s="47"/>
    </row>
    <row r="22" spans="2:8" x14ac:dyDescent="0.35">
      <c r="B22" s="44" t="s">
        <v>54</v>
      </c>
      <c r="C22" s="46"/>
      <c r="D22" s="47">
        <v>160000</v>
      </c>
      <c r="E22" s="47">
        <f t="shared" si="1"/>
        <v>160000</v>
      </c>
      <c r="F22" s="48"/>
      <c r="G22" s="47"/>
      <c r="H22" s="47"/>
    </row>
    <row r="23" spans="2:8" ht="29" x14ac:dyDescent="0.35">
      <c r="B23" s="50" t="s">
        <v>55</v>
      </c>
      <c r="C23" s="46"/>
      <c r="D23" s="47"/>
      <c r="E23" s="47">
        <f t="shared" si="1"/>
        <v>0</v>
      </c>
      <c r="F23" s="48">
        <v>-598000</v>
      </c>
      <c r="G23" s="47"/>
      <c r="H23" s="47"/>
    </row>
    <row r="24" spans="2:8" x14ac:dyDescent="0.35">
      <c r="B24" s="44"/>
      <c r="C24" s="46"/>
      <c r="D24" s="47"/>
      <c r="E24" s="47">
        <f t="shared" si="1"/>
        <v>0</v>
      </c>
      <c r="F24" s="48"/>
      <c r="G24" s="47"/>
      <c r="H24" s="47"/>
    </row>
    <row r="25" spans="2:8" x14ac:dyDescent="0.35">
      <c r="B25" s="51" t="s">
        <v>56</v>
      </c>
      <c r="C25" s="46"/>
      <c r="D25" s="47"/>
      <c r="E25" s="47">
        <f t="shared" si="1"/>
        <v>0</v>
      </c>
      <c r="F25" s="48"/>
      <c r="G25" s="47"/>
      <c r="H25" s="47"/>
    </row>
    <row r="26" spans="2:8" x14ac:dyDescent="0.35">
      <c r="B26" s="44" t="s">
        <v>57</v>
      </c>
      <c r="C26" s="46">
        <v>-9456</v>
      </c>
      <c r="D26" s="47">
        <v>22</v>
      </c>
      <c r="E26" s="47">
        <f t="shared" si="1"/>
        <v>-9434</v>
      </c>
      <c r="F26" s="48"/>
      <c r="G26" s="47"/>
      <c r="H26" s="47"/>
    </row>
    <row r="27" spans="2:8" x14ac:dyDescent="0.35">
      <c r="B27" s="44" t="s">
        <v>58</v>
      </c>
      <c r="C27" s="46"/>
      <c r="D27" s="47"/>
      <c r="E27" s="47">
        <f t="shared" si="1"/>
        <v>0</v>
      </c>
      <c r="F27" s="48"/>
      <c r="G27" s="47">
        <v>-85528</v>
      </c>
      <c r="H27" s="47"/>
    </row>
    <row r="28" spans="2:8" x14ac:dyDescent="0.35">
      <c r="B28" s="44"/>
      <c r="C28" s="46"/>
      <c r="D28" s="47"/>
      <c r="E28" s="47">
        <f t="shared" si="1"/>
        <v>0</v>
      </c>
      <c r="F28" s="48"/>
      <c r="G28" s="47"/>
      <c r="H28" s="47"/>
    </row>
    <row r="29" spans="2:8" ht="29" x14ac:dyDescent="0.35">
      <c r="B29" s="51" t="s">
        <v>59</v>
      </c>
      <c r="C29" s="46"/>
      <c r="D29" s="47"/>
      <c r="E29" s="47">
        <f t="shared" si="1"/>
        <v>0</v>
      </c>
      <c r="F29" s="48"/>
      <c r="G29" s="47"/>
      <c r="H29" s="47"/>
    </row>
    <row r="30" spans="2:8" x14ac:dyDescent="0.35">
      <c r="B30" s="44" t="s">
        <v>60</v>
      </c>
      <c r="C30" s="46"/>
      <c r="D30" s="47">
        <v>-21000</v>
      </c>
      <c r="E30" s="47">
        <f t="shared" si="1"/>
        <v>-21000</v>
      </c>
      <c r="F30" s="48"/>
      <c r="G30" s="47"/>
      <c r="H30" s="47"/>
    </row>
    <row r="31" spans="2:8" ht="29" x14ac:dyDescent="0.35">
      <c r="B31" s="44" t="s">
        <v>61</v>
      </c>
      <c r="C31" s="46"/>
      <c r="D31" s="47">
        <v>-3000</v>
      </c>
      <c r="E31" s="47">
        <f t="shared" si="1"/>
        <v>-3000</v>
      </c>
      <c r="F31" s="48"/>
      <c r="G31" s="47"/>
      <c r="H31" s="47"/>
    </row>
    <row r="32" spans="2:8" x14ac:dyDescent="0.35">
      <c r="B32" s="44" t="s">
        <v>62</v>
      </c>
      <c r="C32" s="46">
        <v>15805</v>
      </c>
      <c r="D32" s="47">
        <v>13486</v>
      </c>
      <c r="E32" s="47">
        <f t="shared" si="1"/>
        <v>29291</v>
      </c>
      <c r="F32" s="48"/>
      <c r="G32" s="47"/>
      <c r="H32" s="47"/>
    </row>
    <row r="33" spans="2:8" x14ac:dyDescent="0.35">
      <c r="B33" s="44"/>
      <c r="C33" s="46"/>
      <c r="D33" s="47"/>
      <c r="E33" s="47">
        <f t="shared" si="1"/>
        <v>0</v>
      </c>
      <c r="F33" s="48"/>
      <c r="G33" s="47"/>
      <c r="H33" s="47"/>
    </row>
    <row r="34" spans="2:8" x14ac:dyDescent="0.35">
      <c r="B34" s="51" t="s">
        <v>63</v>
      </c>
      <c r="C34" s="46"/>
      <c r="D34" s="47"/>
      <c r="E34" s="47">
        <f t="shared" si="1"/>
        <v>0</v>
      </c>
      <c r="F34" s="48"/>
      <c r="G34" s="47"/>
      <c r="H34" s="47"/>
    </row>
    <row r="35" spans="2:8" x14ac:dyDescent="0.35">
      <c r="B35" s="44" t="s">
        <v>64</v>
      </c>
      <c r="C35" s="46"/>
      <c r="D35" s="47">
        <v>-43000</v>
      </c>
      <c r="E35" s="47">
        <f t="shared" si="1"/>
        <v>-43000</v>
      </c>
      <c r="F35" s="48"/>
      <c r="G35" s="47"/>
      <c r="H35" s="47"/>
    </row>
    <row r="36" spans="2:8" x14ac:dyDescent="0.35">
      <c r="B36" s="44" t="s">
        <v>65</v>
      </c>
      <c r="C36" s="46"/>
      <c r="D36" s="47"/>
      <c r="E36" s="47">
        <f t="shared" si="1"/>
        <v>0</v>
      </c>
      <c r="F36" s="48"/>
      <c r="G36" s="47"/>
      <c r="H36" s="47"/>
    </row>
    <row r="37" spans="2:8" x14ac:dyDescent="0.35">
      <c r="B37" s="44" t="s">
        <v>66</v>
      </c>
      <c r="C37" s="46"/>
      <c r="D37" s="47">
        <v>-285000</v>
      </c>
      <c r="E37" s="47">
        <f t="shared" si="1"/>
        <v>-285000</v>
      </c>
      <c r="F37" s="48"/>
      <c r="G37" s="47"/>
      <c r="H37" s="47"/>
    </row>
    <row r="38" spans="2:8" x14ac:dyDescent="0.35">
      <c r="B38" s="44" t="s">
        <v>67</v>
      </c>
      <c r="C38" s="52"/>
      <c r="D38" s="53"/>
      <c r="E38" s="47">
        <f t="shared" si="1"/>
        <v>0</v>
      </c>
      <c r="F38" s="54">
        <v>50000</v>
      </c>
      <c r="G38" s="55"/>
      <c r="H38" s="55"/>
    </row>
    <row r="39" spans="2:8" x14ac:dyDescent="0.35">
      <c r="B39" s="44"/>
      <c r="C39" s="52"/>
      <c r="D39" s="55"/>
      <c r="E39" s="47"/>
      <c r="F39" s="56"/>
      <c r="G39" s="55"/>
      <c r="H39" s="55"/>
    </row>
    <row r="40" spans="2:8" ht="29" x14ac:dyDescent="0.35">
      <c r="B40" s="51" t="s">
        <v>68</v>
      </c>
      <c r="C40" s="57"/>
      <c r="D40" s="58"/>
      <c r="E40" s="47">
        <f t="shared" si="1"/>
        <v>0</v>
      </c>
      <c r="F40" s="59"/>
      <c r="G40" s="58"/>
      <c r="H40" s="58"/>
    </row>
    <row r="41" spans="2:8" x14ac:dyDescent="0.35">
      <c r="B41" s="44" t="s">
        <v>69</v>
      </c>
      <c r="C41" s="60">
        <v>147900</v>
      </c>
      <c r="D41" s="53">
        <v>5164000</v>
      </c>
      <c r="E41" s="53">
        <f t="shared" si="1"/>
        <v>5311900</v>
      </c>
      <c r="F41" s="54">
        <f>320000+1000</f>
        <v>321000</v>
      </c>
      <c r="G41" s="53"/>
      <c r="H41" s="53">
        <f>443000+21095000</f>
        <v>21538000</v>
      </c>
    </row>
    <row r="42" spans="2:8" ht="29" x14ac:dyDescent="0.35">
      <c r="B42" s="44" t="s">
        <v>70</v>
      </c>
      <c r="C42" s="60">
        <v>33100</v>
      </c>
      <c r="D42" s="53">
        <v>4239000</v>
      </c>
      <c r="E42" s="53">
        <f t="shared" si="1"/>
        <v>4272100</v>
      </c>
      <c r="F42" s="54"/>
      <c r="G42" s="53">
        <f>-1000-3501000</f>
        <v>-3502000</v>
      </c>
      <c r="H42" s="53"/>
    </row>
    <row r="43" spans="2:8" x14ac:dyDescent="0.35">
      <c r="B43" s="61"/>
      <c r="C43" s="60"/>
      <c r="D43" s="53"/>
      <c r="E43" s="53">
        <f t="shared" si="1"/>
        <v>0</v>
      </c>
      <c r="F43" s="54"/>
      <c r="G43" s="53"/>
      <c r="H43" s="53"/>
    </row>
    <row r="44" spans="2:8" x14ac:dyDescent="0.35">
      <c r="B44" s="45" t="s">
        <v>71</v>
      </c>
      <c r="C44" s="62">
        <f t="shared" ref="C44:H44" si="2">SUM(C14:C43)</f>
        <v>187349</v>
      </c>
      <c r="D44" s="63">
        <f t="shared" si="2"/>
        <v>9635008</v>
      </c>
      <c r="E44" s="63">
        <f t="shared" si="2"/>
        <v>9822357</v>
      </c>
      <c r="F44" s="62">
        <f t="shared" si="2"/>
        <v>-227000</v>
      </c>
      <c r="G44" s="63">
        <f t="shared" si="2"/>
        <v>-3587528</v>
      </c>
      <c r="H44" s="63">
        <f t="shared" si="2"/>
        <v>21538000</v>
      </c>
    </row>
    <row r="45" spans="2:8" x14ac:dyDescent="0.35">
      <c r="B45" s="61" t="s">
        <v>72</v>
      </c>
      <c r="C45" s="52"/>
      <c r="D45" s="55"/>
      <c r="E45" s="55"/>
      <c r="F45" s="56"/>
      <c r="G45" s="55"/>
      <c r="H45" s="55"/>
    </row>
    <row r="46" spans="2:8" x14ac:dyDescent="0.35">
      <c r="B46" s="61" t="s">
        <v>73</v>
      </c>
      <c r="C46" s="57">
        <f>+C18+C19+C20+C21+C22+C23+C27+C30+C31+C32+C36+C37+C38+C41+C16+C17+C35</f>
        <v>163705</v>
      </c>
      <c r="D46" s="57">
        <f>+D18+D19+D20+D21+D22+D23+D27+D30+D31+D32+D36+D37+D38+D41+D16+D17+D35</f>
        <v>5395986</v>
      </c>
      <c r="E46" s="57">
        <f>+E18+E19+E20+E21+E22+E23+E27+E30+E31+E32+E36+E37+E38+E41+E16+E17+E35</f>
        <v>5559691</v>
      </c>
      <c r="F46" s="57">
        <f>+F18+F19+F20+F21+F22+F23+F27+F30+F31+F32+F36+F37+F38+F41+F16+F17+F35</f>
        <v>-227000</v>
      </c>
      <c r="G46" s="57">
        <f>+G18+G19+G20+G21+G22+G23+G27+G30+G31+G32+G36+G37+G38+G41+G16+G17+G35+G42</f>
        <v>-3587528</v>
      </c>
      <c r="H46" s="57">
        <f>+H18+H19+H20+H21+H22+H23+H27+H30+H31+H32+H36+H37+H38+H41+H16+H17+H35</f>
        <v>21538000</v>
      </c>
    </row>
    <row r="47" spans="2:8" x14ac:dyDescent="0.35">
      <c r="B47" s="61" t="s">
        <v>74</v>
      </c>
      <c r="C47" s="57">
        <f>+C26+C42</f>
        <v>23644</v>
      </c>
      <c r="D47" s="57">
        <f>+D26+D42</f>
        <v>4239022</v>
      </c>
      <c r="E47" s="57">
        <f>+E26+E42</f>
        <v>4262666</v>
      </c>
      <c r="F47" s="57">
        <f>+F26+F42</f>
        <v>0</v>
      </c>
      <c r="G47" s="57">
        <f>+G26</f>
        <v>0</v>
      </c>
      <c r="H47" s="57">
        <f>+H26+H42</f>
        <v>0</v>
      </c>
    </row>
    <row r="48" spans="2:8" x14ac:dyDescent="0.35">
      <c r="B48" s="45"/>
      <c r="C48" s="46"/>
      <c r="D48" s="46"/>
      <c r="E48" s="46"/>
      <c r="F48" s="46"/>
      <c r="G48" s="46"/>
      <c r="H48" s="46"/>
    </row>
    <row r="49" spans="2:8" ht="29" x14ac:dyDescent="0.35">
      <c r="B49" s="45" t="s">
        <v>75</v>
      </c>
      <c r="C49" s="64">
        <f t="shared" ref="C49:H49" si="3">+C11+C44</f>
        <v>481765</v>
      </c>
      <c r="D49" s="65">
        <f t="shared" si="3"/>
        <v>66371358</v>
      </c>
      <c r="E49" s="65">
        <f t="shared" si="3"/>
        <v>66853123</v>
      </c>
      <c r="F49" s="66">
        <f t="shared" si="3"/>
        <v>4214000</v>
      </c>
      <c r="G49" s="65">
        <f t="shared" si="3"/>
        <v>-3587528</v>
      </c>
      <c r="H49" s="65">
        <f t="shared" si="3"/>
        <v>21538000</v>
      </c>
    </row>
    <row r="50" spans="2:8" x14ac:dyDescent="0.35">
      <c r="B50" s="45" t="s">
        <v>76</v>
      </c>
      <c r="C50" s="52"/>
      <c r="D50" s="55"/>
      <c r="E50" s="55"/>
      <c r="F50" s="56"/>
      <c r="G50" s="55"/>
      <c r="H50" s="55"/>
    </row>
    <row r="51" spans="2:8" x14ac:dyDescent="0.35">
      <c r="B51" s="61" t="s">
        <v>73</v>
      </c>
      <c r="C51" s="57">
        <f t="shared" ref="C51:H51" si="4">+C8+C46+C9</f>
        <v>435121</v>
      </c>
      <c r="D51" s="57">
        <f t="shared" si="4"/>
        <v>62129336</v>
      </c>
      <c r="E51" s="57">
        <f t="shared" si="4"/>
        <v>62564457</v>
      </c>
      <c r="F51" s="57">
        <f t="shared" si="4"/>
        <v>4214000</v>
      </c>
      <c r="G51" s="57">
        <f t="shared" si="4"/>
        <v>-3587528</v>
      </c>
      <c r="H51" s="57">
        <f t="shared" si="4"/>
        <v>21538000</v>
      </c>
    </row>
    <row r="52" spans="2:8" ht="15" thickBot="1" x14ac:dyDescent="0.4">
      <c r="B52" s="61" t="s">
        <v>74</v>
      </c>
      <c r="C52" s="57">
        <f t="shared" ref="C52:H52" si="5">+C10+C47</f>
        <v>46644</v>
      </c>
      <c r="D52" s="58">
        <f t="shared" si="5"/>
        <v>4242022</v>
      </c>
      <c r="E52" s="58">
        <f t="shared" si="5"/>
        <v>4288666</v>
      </c>
      <c r="F52" s="59">
        <f t="shared" si="5"/>
        <v>0</v>
      </c>
      <c r="G52" s="58">
        <f t="shared" si="5"/>
        <v>0</v>
      </c>
      <c r="H52" s="58">
        <f t="shared" si="5"/>
        <v>0</v>
      </c>
    </row>
    <row r="53" spans="2:8" x14ac:dyDescent="0.35">
      <c r="B53" s="67"/>
      <c r="C53" s="68"/>
      <c r="D53" s="69"/>
      <c r="E53" s="69"/>
      <c r="F53" s="70"/>
      <c r="G53" s="69"/>
      <c r="H53" s="69"/>
    </row>
    <row r="54" spans="2:8" x14ac:dyDescent="0.35">
      <c r="B54" s="45" t="s">
        <v>77</v>
      </c>
      <c r="C54" s="46"/>
      <c r="D54" s="47"/>
      <c r="E54" s="47"/>
      <c r="F54" s="48"/>
      <c r="G54" s="47"/>
      <c r="H54" s="47"/>
    </row>
    <row r="55" spans="2:8" x14ac:dyDescent="0.35">
      <c r="B55" s="45" t="s">
        <v>78</v>
      </c>
      <c r="C55" s="46"/>
      <c r="D55" s="47"/>
      <c r="E55" s="47"/>
      <c r="F55" s="48"/>
      <c r="G55" s="47"/>
      <c r="H55" s="47"/>
    </row>
    <row r="56" spans="2:8" x14ac:dyDescent="0.35">
      <c r="B56" s="45"/>
      <c r="C56" s="46"/>
      <c r="D56" s="47"/>
      <c r="E56" s="47"/>
      <c r="F56" s="48"/>
      <c r="G56" s="47"/>
      <c r="H56" s="47"/>
    </row>
    <row r="57" spans="2:8" ht="29" x14ac:dyDescent="0.35">
      <c r="B57" s="51" t="s">
        <v>79</v>
      </c>
      <c r="C57" s="47"/>
      <c r="D57" s="47"/>
      <c r="E57" s="47"/>
      <c r="F57" s="48"/>
      <c r="G57" s="47"/>
      <c r="H57" s="47"/>
    </row>
    <row r="58" spans="2:8" ht="29" x14ac:dyDescent="0.35">
      <c r="B58" s="44" t="s">
        <v>80</v>
      </c>
      <c r="C58" s="47"/>
      <c r="D58" s="47">
        <v>-1000</v>
      </c>
      <c r="E58" s="47">
        <f>+C58+D58</f>
        <v>-1000</v>
      </c>
      <c r="F58" s="48"/>
      <c r="G58" s="47"/>
      <c r="H58" s="47"/>
    </row>
    <row r="59" spans="2:8" ht="29" x14ac:dyDescent="0.35">
      <c r="B59" s="44" t="s">
        <v>81</v>
      </c>
      <c r="C59" s="47">
        <v>449</v>
      </c>
      <c r="D59" s="47">
        <v>8128</v>
      </c>
      <c r="E59" s="47">
        <f>+C59+D59</f>
        <v>8577</v>
      </c>
      <c r="F59" s="47">
        <v>5035</v>
      </c>
      <c r="G59" s="47"/>
      <c r="H59" s="47"/>
    </row>
    <row r="60" spans="2:8" x14ac:dyDescent="0.35">
      <c r="B60" s="44"/>
      <c r="C60" s="46"/>
      <c r="D60" s="47"/>
      <c r="E60" s="47"/>
      <c r="F60" s="48"/>
      <c r="G60" s="47"/>
      <c r="H60" s="47"/>
    </row>
    <row r="61" spans="2:8" x14ac:dyDescent="0.35">
      <c r="B61" s="51" t="s">
        <v>82</v>
      </c>
      <c r="C61" s="46"/>
      <c r="D61" s="47"/>
      <c r="E61" s="47"/>
      <c r="F61" s="48"/>
      <c r="G61" s="47"/>
      <c r="H61" s="47"/>
    </row>
    <row r="62" spans="2:8" x14ac:dyDescent="0.35">
      <c r="B62" s="44" t="s">
        <v>83</v>
      </c>
      <c r="C62" s="46"/>
      <c r="D62" s="47">
        <v>96200</v>
      </c>
      <c r="E62" s="47">
        <f t="shared" ref="E62:E71" si="6">+C62+D62</f>
        <v>96200</v>
      </c>
      <c r="F62" s="48"/>
      <c r="G62" s="47"/>
      <c r="H62" s="47"/>
    </row>
    <row r="63" spans="2:8" x14ac:dyDescent="0.35">
      <c r="B63" s="44" t="s">
        <v>84</v>
      </c>
      <c r="C63" s="46"/>
      <c r="D63" s="47">
        <v>18000</v>
      </c>
      <c r="E63" s="47">
        <f t="shared" si="6"/>
        <v>18000</v>
      </c>
      <c r="F63" s="48">
        <v>26000</v>
      </c>
      <c r="G63" s="47"/>
      <c r="H63" s="47"/>
    </row>
    <row r="64" spans="2:8" x14ac:dyDescent="0.35">
      <c r="B64" s="44" t="s">
        <v>85</v>
      </c>
      <c r="C64" s="46"/>
      <c r="D64" s="47"/>
      <c r="E64" s="47">
        <f t="shared" si="6"/>
        <v>0</v>
      </c>
      <c r="F64" s="48">
        <v>108000</v>
      </c>
      <c r="G64" s="47"/>
      <c r="H64" s="47"/>
    </row>
    <row r="65" spans="2:8" x14ac:dyDescent="0.35">
      <c r="B65" s="44" t="s">
        <v>86</v>
      </c>
      <c r="C65" s="46"/>
      <c r="D65" s="47">
        <v>3300</v>
      </c>
      <c r="E65" s="47">
        <f t="shared" si="6"/>
        <v>3300</v>
      </c>
      <c r="F65" s="48"/>
      <c r="G65" s="47"/>
      <c r="H65" s="47"/>
    </row>
    <row r="66" spans="2:8" x14ac:dyDescent="0.35">
      <c r="B66" s="44" t="s">
        <v>87</v>
      </c>
      <c r="C66" s="46"/>
      <c r="D66" s="47"/>
      <c r="E66" s="47">
        <f t="shared" si="6"/>
        <v>0</v>
      </c>
      <c r="F66" s="48"/>
      <c r="G66" s="47"/>
      <c r="H66" s="47"/>
    </row>
    <row r="67" spans="2:8" x14ac:dyDescent="0.35">
      <c r="B67" s="44" t="s">
        <v>88</v>
      </c>
      <c r="C67" s="46"/>
      <c r="D67" s="47"/>
      <c r="E67" s="47">
        <f t="shared" si="6"/>
        <v>0</v>
      </c>
      <c r="F67" s="48"/>
      <c r="G67" s="47"/>
      <c r="H67" s="47"/>
    </row>
    <row r="68" spans="2:8" x14ac:dyDescent="0.35">
      <c r="B68" s="44" t="s">
        <v>89</v>
      </c>
      <c r="C68" s="46"/>
      <c r="D68" s="47"/>
      <c r="E68" s="47">
        <f t="shared" si="6"/>
        <v>0</v>
      </c>
      <c r="F68" s="48"/>
      <c r="G68" s="47"/>
      <c r="H68" s="47"/>
    </row>
    <row r="69" spans="2:8" x14ac:dyDescent="0.35">
      <c r="B69" s="44" t="s">
        <v>90</v>
      </c>
      <c r="C69" s="46"/>
      <c r="D69" s="47"/>
      <c r="E69" s="47">
        <f t="shared" si="6"/>
        <v>0</v>
      </c>
      <c r="F69" s="48">
        <v>400000</v>
      </c>
      <c r="G69" s="47"/>
      <c r="H69" s="47"/>
    </row>
    <row r="70" spans="2:8" x14ac:dyDescent="0.35">
      <c r="B70" s="44" t="s">
        <v>91</v>
      </c>
      <c r="C70" s="46"/>
      <c r="D70" s="47"/>
      <c r="E70" s="47">
        <f t="shared" si="6"/>
        <v>0</v>
      </c>
      <c r="F70" s="48"/>
      <c r="G70" s="47"/>
      <c r="H70" s="47">
        <v>15000</v>
      </c>
    </row>
    <row r="71" spans="2:8" x14ac:dyDescent="0.35">
      <c r="B71" s="44" t="s">
        <v>92</v>
      </c>
      <c r="C71" s="46"/>
      <c r="D71" s="47"/>
      <c r="E71" s="47">
        <f t="shared" si="6"/>
        <v>0</v>
      </c>
      <c r="F71" s="48"/>
      <c r="G71" s="47"/>
      <c r="H71" s="47">
        <v>5000</v>
      </c>
    </row>
    <row r="72" spans="2:8" x14ac:dyDescent="0.35">
      <c r="B72" s="45" t="s">
        <v>93</v>
      </c>
      <c r="C72" s="63">
        <f t="shared" ref="C72:H72" si="7">SUM(C57:C71)</f>
        <v>449</v>
      </c>
      <c r="D72" s="63">
        <f t="shared" si="7"/>
        <v>124628</v>
      </c>
      <c r="E72" s="63">
        <f t="shared" si="7"/>
        <v>125077</v>
      </c>
      <c r="F72" s="63">
        <f t="shared" si="7"/>
        <v>539035</v>
      </c>
      <c r="G72" s="63">
        <f t="shared" si="7"/>
        <v>0</v>
      </c>
      <c r="H72" s="63">
        <f t="shared" si="7"/>
        <v>20000</v>
      </c>
    </row>
    <row r="73" spans="2:8" x14ac:dyDescent="0.35">
      <c r="B73" s="44" t="s">
        <v>72</v>
      </c>
      <c r="C73" s="46"/>
      <c r="D73" s="47"/>
      <c r="E73" s="47"/>
      <c r="F73" s="48"/>
      <c r="G73" s="47"/>
      <c r="H73" s="47"/>
    </row>
    <row r="74" spans="2:8" x14ac:dyDescent="0.35">
      <c r="B74" s="61" t="s">
        <v>73</v>
      </c>
      <c r="C74" s="71">
        <f t="shared" ref="C74:H74" si="8">SUM(C57:C71)</f>
        <v>449</v>
      </c>
      <c r="D74" s="71">
        <f t="shared" si="8"/>
        <v>124628</v>
      </c>
      <c r="E74" s="47">
        <f t="shared" si="8"/>
        <v>125077</v>
      </c>
      <c r="F74" s="72">
        <f t="shared" si="8"/>
        <v>539035</v>
      </c>
      <c r="G74" s="71">
        <f t="shared" si="8"/>
        <v>0</v>
      </c>
      <c r="H74" s="71">
        <f t="shared" si="8"/>
        <v>20000</v>
      </c>
    </row>
    <row r="75" spans="2:8" x14ac:dyDescent="0.35">
      <c r="B75" s="61" t="s">
        <v>74</v>
      </c>
      <c r="C75" s="73"/>
      <c r="D75" s="71"/>
      <c r="E75" s="47"/>
      <c r="F75" s="72"/>
      <c r="G75" s="71"/>
      <c r="H75" s="71"/>
    </row>
    <row r="76" spans="2:8" x14ac:dyDescent="0.35">
      <c r="B76" s="61"/>
      <c r="C76" s="73"/>
      <c r="D76" s="71"/>
      <c r="E76" s="47"/>
      <c r="F76" s="72"/>
      <c r="G76" s="71"/>
      <c r="H76" s="71"/>
    </row>
    <row r="77" spans="2:8" ht="29" x14ac:dyDescent="0.35">
      <c r="B77" s="45" t="s">
        <v>94</v>
      </c>
      <c r="C77" s="74">
        <f t="shared" ref="C77:H77" si="9">+C49+C72</f>
        <v>482214</v>
      </c>
      <c r="D77" s="74">
        <f t="shared" si="9"/>
        <v>66495986</v>
      </c>
      <c r="E77" s="74">
        <f t="shared" si="9"/>
        <v>66978200</v>
      </c>
      <c r="F77" s="74">
        <f t="shared" si="9"/>
        <v>4753035</v>
      </c>
      <c r="G77" s="74">
        <f t="shared" si="9"/>
        <v>-3587528</v>
      </c>
      <c r="H77" s="74">
        <f t="shared" si="9"/>
        <v>21558000</v>
      </c>
    </row>
    <row r="78" spans="2:8" x14ac:dyDescent="0.35">
      <c r="B78" s="44" t="s">
        <v>72</v>
      </c>
      <c r="C78" s="73"/>
      <c r="D78" s="73"/>
      <c r="E78" s="73"/>
      <c r="F78" s="73"/>
      <c r="G78" s="73"/>
      <c r="H78" s="73"/>
    </row>
    <row r="79" spans="2:8" x14ac:dyDescent="0.35">
      <c r="B79" s="61" t="s">
        <v>73</v>
      </c>
      <c r="C79" s="75">
        <f t="shared" ref="C79:H80" si="10">+C51+C74</f>
        <v>435570</v>
      </c>
      <c r="D79" s="75">
        <f t="shared" si="10"/>
        <v>62253964</v>
      </c>
      <c r="E79" s="75">
        <f t="shared" si="10"/>
        <v>62689534</v>
      </c>
      <c r="F79" s="75">
        <f t="shared" si="10"/>
        <v>4753035</v>
      </c>
      <c r="G79" s="75">
        <f t="shared" si="10"/>
        <v>-3587528</v>
      </c>
      <c r="H79" s="75">
        <f t="shared" si="10"/>
        <v>21558000</v>
      </c>
    </row>
    <row r="80" spans="2:8" x14ac:dyDescent="0.35">
      <c r="B80" s="61" t="s">
        <v>74</v>
      </c>
      <c r="C80" s="75">
        <f t="shared" si="10"/>
        <v>46644</v>
      </c>
      <c r="D80" s="75">
        <f t="shared" si="10"/>
        <v>4242022</v>
      </c>
      <c r="E80" s="75">
        <f t="shared" si="10"/>
        <v>4288666</v>
      </c>
      <c r="F80" s="75">
        <f t="shared" si="10"/>
        <v>0</v>
      </c>
      <c r="G80" s="75">
        <f t="shared" si="10"/>
        <v>0</v>
      </c>
      <c r="H80" s="75">
        <f t="shared" si="10"/>
        <v>0</v>
      </c>
    </row>
    <row r="81" spans="2:8" x14ac:dyDescent="0.35">
      <c r="B81" s="45"/>
      <c r="C81" s="52"/>
      <c r="D81" s="55"/>
      <c r="E81" s="55"/>
      <c r="F81" s="56"/>
      <c r="G81" s="55"/>
      <c r="H81" s="55"/>
    </row>
    <row r="82" spans="2:8" x14ac:dyDescent="0.35">
      <c r="B82" s="45" t="s">
        <v>95</v>
      </c>
      <c r="C82" s="76"/>
      <c r="D82" s="76"/>
      <c r="E82" s="76"/>
      <c r="F82" s="76"/>
      <c r="G82" s="76"/>
      <c r="H82" s="76"/>
    </row>
    <row r="83" spans="2:8" x14ac:dyDescent="0.35">
      <c r="B83" s="51" t="s">
        <v>96</v>
      </c>
      <c r="C83" s="71"/>
      <c r="D83" s="71"/>
      <c r="E83" s="71"/>
      <c r="F83" s="71"/>
      <c r="G83" s="71"/>
      <c r="H83" s="71"/>
    </row>
    <row r="84" spans="2:8" ht="29" x14ac:dyDescent="0.35">
      <c r="B84" s="44" t="s">
        <v>97</v>
      </c>
      <c r="C84" s="47"/>
      <c r="D84" s="47"/>
      <c r="E84" s="47">
        <f>+C84+D84</f>
        <v>0</v>
      </c>
      <c r="F84" s="47"/>
      <c r="G84" s="47"/>
      <c r="H84" s="47"/>
    </row>
    <row r="85" spans="2:8" x14ac:dyDescent="0.35">
      <c r="B85" s="44" t="s">
        <v>98</v>
      </c>
      <c r="C85" s="77"/>
      <c r="D85" s="77">
        <v>512000</v>
      </c>
      <c r="E85" s="77">
        <f t="shared" ref="E85:E100" si="11">+C85+D85</f>
        <v>512000</v>
      </c>
      <c r="F85" s="77">
        <v>-155000</v>
      </c>
      <c r="G85" s="77"/>
      <c r="H85" s="77"/>
    </row>
    <row r="86" spans="2:8" x14ac:dyDescent="0.35">
      <c r="B86" s="44"/>
      <c r="C86" s="77"/>
      <c r="D86" s="77"/>
      <c r="E86" s="77"/>
      <c r="F86" s="77"/>
      <c r="G86" s="77"/>
      <c r="H86" s="77"/>
    </row>
    <row r="87" spans="2:8" x14ac:dyDescent="0.35">
      <c r="B87" s="78" t="s">
        <v>99</v>
      </c>
      <c r="C87" s="77"/>
      <c r="D87" s="77"/>
      <c r="E87" s="77"/>
      <c r="F87" s="77"/>
      <c r="G87" s="77"/>
      <c r="H87" s="77"/>
    </row>
    <row r="88" spans="2:8" x14ac:dyDescent="0.35">
      <c r="B88" s="79" t="s">
        <v>100</v>
      </c>
      <c r="C88" s="77"/>
      <c r="D88" s="77"/>
      <c r="E88" s="77">
        <f t="shared" si="11"/>
        <v>0</v>
      </c>
      <c r="F88" s="77">
        <v>500000</v>
      </c>
      <c r="G88" s="77"/>
      <c r="H88" s="77"/>
    </row>
    <row r="89" spans="2:8" x14ac:dyDescent="0.35">
      <c r="B89" s="79" t="s">
        <v>101</v>
      </c>
      <c r="C89" s="77"/>
      <c r="D89" s="77">
        <v>6500</v>
      </c>
      <c r="E89" s="77">
        <f t="shared" si="11"/>
        <v>6500</v>
      </c>
      <c r="F89" s="77"/>
      <c r="G89" s="77"/>
      <c r="H89" s="77"/>
    </row>
    <row r="90" spans="2:8" x14ac:dyDescent="0.35">
      <c r="B90" s="79" t="s">
        <v>102</v>
      </c>
      <c r="C90" s="77"/>
      <c r="D90" s="77">
        <v>3000</v>
      </c>
      <c r="E90" s="77">
        <f t="shared" si="11"/>
        <v>3000</v>
      </c>
      <c r="F90" s="77"/>
      <c r="G90" s="77"/>
      <c r="H90" s="77"/>
    </row>
    <row r="91" spans="2:8" x14ac:dyDescent="0.35">
      <c r="B91" s="79" t="s">
        <v>103</v>
      </c>
      <c r="C91" s="77"/>
      <c r="D91" s="77">
        <v>6000</v>
      </c>
      <c r="E91" s="77">
        <f t="shared" si="11"/>
        <v>6000</v>
      </c>
      <c r="F91" s="77"/>
      <c r="G91" s="77"/>
      <c r="H91" s="77"/>
    </row>
    <row r="92" spans="2:8" x14ac:dyDescent="0.35">
      <c r="B92" s="79" t="s">
        <v>104</v>
      </c>
      <c r="C92" s="77"/>
      <c r="D92" s="77">
        <v>4600</v>
      </c>
      <c r="E92" s="77">
        <f t="shared" si="11"/>
        <v>4600</v>
      </c>
      <c r="F92" s="77"/>
      <c r="G92" s="77"/>
      <c r="H92" s="77"/>
    </row>
    <row r="93" spans="2:8" x14ac:dyDescent="0.35">
      <c r="B93" s="79" t="s">
        <v>105</v>
      </c>
      <c r="C93" s="77"/>
      <c r="D93" s="77">
        <v>21000</v>
      </c>
      <c r="E93" s="77">
        <f t="shared" si="11"/>
        <v>21000</v>
      </c>
      <c r="F93" s="77"/>
      <c r="G93" s="77"/>
      <c r="H93" s="77"/>
    </row>
    <row r="94" spans="2:8" ht="29" x14ac:dyDescent="0.35">
      <c r="B94" s="79" t="s">
        <v>106</v>
      </c>
      <c r="C94" s="77"/>
      <c r="D94" s="77">
        <v>16050</v>
      </c>
      <c r="E94" s="77">
        <f t="shared" si="11"/>
        <v>16050</v>
      </c>
      <c r="F94" s="77"/>
      <c r="G94" s="77"/>
      <c r="H94" s="77"/>
    </row>
    <row r="95" spans="2:8" x14ac:dyDescent="0.35">
      <c r="B95" s="79" t="s">
        <v>107</v>
      </c>
      <c r="C95" s="77"/>
      <c r="D95" s="77">
        <v>15000</v>
      </c>
      <c r="E95" s="77">
        <f t="shared" si="11"/>
        <v>15000</v>
      </c>
      <c r="F95" s="77"/>
      <c r="G95" s="77"/>
      <c r="H95" s="77"/>
    </row>
    <row r="96" spans="2:8" x14ac:dyDescent="0.35">
      <c r="B96" s="79" t="s">
        <v>108</v>
      </c>
      <c r="C96" s="77"/>
      <c r="D96" s="77">
        <v>2250</v>
      </c>
      <c r="E96" s="77">
        <f t="shared" si="11"/>
        <v>2250</v>
      </c>
      <c r="F96" s="77"/>
      <c r="G96" s="77"/>
      <c r="H96" s="77"/>
    </row>
    <row r="97" spans="2:8" x14ac:dyDescent="0.35">
      <c r="B97" s="79" t="s">
        <v>109</v>
      </c>
      <c r="C97" s="77"/>
      <c r="D97" s="77">
        <v>14000</v>
      </c>
      <c r="E97" s="77">
        <f t="shared" si="11"/>
        <v>14000</v>
      </c>
      <c r="F97" s="77"/>
      <c r="G97" s="77"/>
      <c r="H97" s="77"/>
    </row>
    <row r="98" spans="2:8" x14ac:dyDescent="0.35">
      <c r="B98" s="80" t="s">
        <v>110</v>
      </c>
      <c r="C98" s="81">
        <f t="shared" ref="C98:H98" si="12">SUM(C88:C97)</f>
        <v>0</v>
      </c>
      <c r="D98" s="81">
        <f t="shared" si="12"/>
        <v>88400</v>
      </c>
      <c r="E98" s="81">
        <f t="shared" si="12"/>
        <v>88400</v>
      </c>
      <c r="F98" s="81">
        <f t="shared" si="12"/>
        <v>500000</v>
      </c>
      <c r="G98" s="81">
        <f t="shared" si="12"/>
        <v>0</v>
      </c>
      <c r="H98" s="81">
        <f t="shared" si="12"/>
        <v>0</v>
      </c>
    </row>
    <row r="99" spans="2:8" x14ac:dyDescent="0.35">
      <c r="B99" s="79"/>
      <c r="C99" s="77"/>
      <c r="D99" s="77"/>
      <c r="E99" s="77"/>
      <c r="F99" s="77"/>
      <c r="G99" s="77"/>
      <c r="H99" s="77"/>
    </row>
    <row r="100" spans="2:8" x14ac:dyDescent="0.35">
      <c r="B100" s="79" t="s">
        <v>111</v>
      </c>
      <c r="C100" s="77"/>
      <c r="D100" s="77">
        <v>180000</v>
      </c>
      <c r="E100" s="77">
        <f t="shared" si="11"/>
        <v>180000</v>
      </c>
      <c r="F100" s="77"/>
      <c r="G100" s="77"/>
      <c r="H100" s="77"/>
    </row>
    <row r="101" spans="2:8" x14ac:dyDescent="0.35">
      <c r="B101" s="44" t="s">
        <v>93</v>
      </c>
      <c r="C101" s="63">
        <f t="shared" ref="C101:H101" si="13">SUM(C83:C86)+C98+C100</f>
        <v>0</v>
      </c>
      <c r="D101" s="63">
        <f t="shared" si="13"/>
        <v>780400</v>
      </c>
      <c r="E101" s="63">
        <f t="shared" si="13"/>
        <v>780400</v>
      </c>
      <c r="F101" s="63">
        <f t="shared" si="13"/>
        <v>345000</v>
      </c>
      <c r="G101" s="63">
        <f t="shared" si="13"/>
        <v>0</v>
      </c>
      <c r="H101" s="63">
        <f t="shared" si="13"/>
        <v>0</v>
      </c>
    </row>
    <row r="102" spans="2:8" x14ac:dyDescent="0.35">
      <c r="B102" s="44" t="s">
        <v>72</v>
      </c>
      <c r="C102" s="47"/>
      <c r="D102" s="47"/>
      <c r="E102" s="47"/>
      <c r="F102" s="47"/>
      <c r="G102" s="47"/>
      <c r="H102" s="47"/>
    </row>
    <row r="103" spans="2:8" x14ac:dyDescent="0.35">
      <c r="B103" s="61" t="s">
        <v>73</v>
      </c>
      <c r="C103" s="82">
        <f t="shared" ref="C103:H103" si="14">+C84+C85+C98+C100</f>
        <v>0</v>
      </c>
      <c r="D103" s="82">
        <f t="shared" si="14"/>
        <v>780400</v>
      </c>
      <c r="E103" s="82">
        <f t="shared" si="14"/>
        <v>780400</v>
      </c>
      <c r="F103" s="82">
        <f t="shared" si="14"/>
        <v>345000</v>
      </c>
      <c r="G103" s="82">
        <f t="shared" si="14"/>
        <v>0</v>
      </c>
      <c r="H103" s="82">
        <f t="shared" si="14"/>
        <v>0</v>
      </c>
    </row>
    <row r="104" spans="2:8" x14ac:dyDescent="0.35">
      <c r="B104" s="61" t="s">
        <v>74</v>
      </c>
      <c r="C104" s="71"/>
      <c r="D104" s="71"/>
      <c r="E104" s="47"/>
      <c r="F104" s="71"/>
      <c r="G104" s="71"/>
      <c r="H104" s="71"/>
    </row>
    <row r="105" spans="2:8" x14ac:dyDescent="0.35">
      <c r="B105" s="79"/>
      <c r="C105" s="83"/>
      <c r="D105" s="83"/>
      <c r="E105" s="83"/>
      <c r="F105" s="83"/>
      <c r="G105" s="83"/>
      <c r="H105" s="83"/>
    </row>
    <row r="106" spans="2:8" ht="29" x14ac:dyDescent="0.35">
      <c r="B106" s="45" t="s">
        <v>112</v>
      </c>
      <c r="C106" s="74">
        <f t="shared" ref="C106:H106" si="15">+C77+C101</f>
        <v>482214</v>
      </c>
      <c r="D106" s="74">
        <f t="shared" si="15"/>
        <v>67276386</v>
      </c>
      <c r="E106" s="74">
        <f t="shared" si="15"/>
        <v>67758600</v>
      </c>
      <c r="F106" s="74">
        <f t="shared" si="15"/>
        <v>5098035</v>
      </c>
      <c r="G106" s="74">
        <f t="shared" si="15"/>
        <v>-3587528</v>
      </c>
      <c r="H106" s="74">
        <f t="shared" si="15"/>
        <v>21558000</v>
      </c>
    </row>
    <row r="107" spans="2:8" x14ac:dyDescent="0.35">
      <c r="B107" s="44" t="s">
        <v>72</v>
      </c>
      <c r="C107" s="71"/>
      <c r="D107" s="71"/>
      <c r="E107" s="47"/>
      <c r="F107" s="71"/>
      <c r="G107" s="71"/>
      <c r="H107" s="71"/>
    </row>
    <row r="108" spans="2:8" x14ac:dyDescent="0.35">
      <c r="B108" s="61" t="s">
        <v>73</v>
      </c>
      <c r="C108" s="82">
        <f t="shared" ref="C108:H109" si="16">+C79+C103</f>
        <v>435570</v>
      </c>
      <c r="D108" s="82">
        <f t="shared" si="16"/>
        <v>63034364</v>
      </c>
      <c r="E108" s="82">
        <f t="shared" si="16"/>
        <v>63469934</v>
      </c>
      <c r="F108" s="82">
        <f t="shared" si="16"/>
        <v>5098035</v>
      </c>
      <c r="G108" s="82">
        <f t="shared" si="16"/>
        <v>-3587528</v>
      </c>
      <c r="H108" s="82">
        <f t="shared" si="16"/>
        <v>21558000</v>
      </c>
    </row>
    <row r="109" spans="2:8" x14ac:dyDescent="0.35">
      <c r="B109" s="61" t="s">
        <v>74</v>
      </c>
      <c r="C109" s="82">
        <f t="shared" si="16"/>
        <v>46644</v>
      </c>
      <c r="D109" s="82">
        <f t="shared" si="16"/>
        <v>4242022</v>
      </c>
      <c r="E109" s="82">
        <f t="shared" si="16"/>
        <v>4288666</v>
      </c>
      <c r="F109" s="82">
        <f t="shared" si="16"/>
        <v>0</v>
      </c>
      <c r="G109" s="82">
        <f t="shared" si="16"/>
        <v>0</v>
      </c>
      <c r="H109" s="82">
        <f t="shared" si="16"/>
        <v>0</v>
      </c>
    </row>
    <row r="110" spans="2:8" x14ac:dyDescent="0.35">
      <c r="B110" s="61"/>
      <c r="C110" s="71"/>
      <c r="D110" s="71"/>
      <c r="E110" s="47"/>
      <c r="F110" s="71"/>
      <c r="G110" s="71"/>
      <c r="H110" s="71"/>
    </row>
    <row r="111" spans="2:8" x14ac:dyDescent="0.35">
      <c r="B111" s="84" t="s">
        <v>113</v>
      </c>
      <c r="C111" s="85"/>
      <c r="D111" s="83"/>
      <c r="E111" s="83"/>
      <c r="F111" s="83"/>
      <c r="G111" s="83"/>
      <c r="H111" s="83"/>
    </row>
    <row r="112" spans="2:8" x14ac:dyDescent="0.35">
      <c r="B112" s="86"/>
      <c r="C112" s="83"/>
      <c r="D112" s="83"/>
      <c r="E112" s="83"/>
      <c r="F112" s="83"/>
      <c r="G112" s="83"/>
      <c r="H112" s="83"/>
    </row>
    <row r="113" spans="2:8" ht="29" x14ac:dyDescent="0.35">
      <c r="B113" s="87" t="s">
        <v>114</v>
      </c>
      <c r="C113" s="83"/>
      <c r="D113" s="83"/>
      <c r="E113" s="83"/>
      <c r="F113" s="83"/>
      <c r="G113" s="83"/>
      <c r="H113" s="83"/>
    </row>
    <row r="114" spans="2:8" x14ac:dyDescent="0.35">
      <c r="B114" s="88" t="s">
        <v>115</v>
      </c>
      <c r="C114" s="47">
        <v>-2414</v>
      </c>
      <c r="D114" s="83"/>
      <c r="E114" s="47">
        <f>+C114+D114</f>
        <v>-2414</v>
      </c>
      <c r="F114" s="83"/>
      <c r="G114" s="83"/>
      <c r="H114" s="83"/>
    </row>
    <row r="115" spans="2:8" x14ac:dyDescent="0.35">
      <c r="B115" s="86" t="s">
        <v>116</v>
      </c>
      <c r="C115" s="47">
        <v>-5810</v>
      </c>
      <c r="D115" s="47">
        <v>-11200</v>
      </c>
      <c r="E115" s="47">
        <f>+C115+D115</f>
        <v>-17010</v>
      </c>
      <c r="F115" s="47"/>
      <c r="G115" s="47"/>
      <c r="H115" s="47"/>
    </row>
    <row r="116" spans="2:8" x14ac:dyDescent="0.35">
      <c r="B116" s="86" t="s">
        <v>117</v>
      </c>
      <c r="C116" s="47">
        <v>-12380</v>
      </c>
      <c r="D116" s="47">
        <v>-5060</v>
      </c>
      <c r="E116" s="47">
        <f>+C116+D116</f>
        <v>-17440</v>
      </c>
      <c r="F116" s="47">
        <v>-520</v>
      </c>
      <c r="G116" s="47"/>
      <c r="H116" s="47"/>
    </row>
    <row r="117" spans="2:8" x14ac:dyDescent="0.35">
      <c r="B117" s="86" t="s">
        <v>118</v>
      </c>
      <c r="C117" s="47">
        <v>-600</v>
      </c>
      <c r="D117" s="47"/>
      <c r="E117" s="47">
        <f>+C117+D117</f>
        <v>-600</v>
      </c>
      <c r="F117" s="47"/>
      <c r="G117" s="47"/>
      <c r="H117" s="47"/>
    </row>
    <row r="118" spans="2:8" x14ac:dyDescent="0.35">
      <c r="B118" s="86"/>
      <c r="C118" s="47"/>
      <c r="D118" s="47"/>
      <c r="E118" s="47"/>
      <c r="F118" s="47"/>
      <c r="G118" s="47"/>
      <c r="H118" s="47"/>
    </row>
    <row r="119" spans="2:8" x14ac:dyDescent="0.35">
      <c r="B119" s="89" t="s">
        <v>119</v>
      </c>
      <c r="C119" s="47"/>
      <c r="D119" s="47"/>
      <c r="E119" s="47"/>
      <c r="F119" s="47"/>
      <c r="G119" s="47"/>
      <c r="H119" s="47"/>
    </row>
    <row r="120" spans="2:8" x14ac:dyDescent="0.35">
      <c r="B120" s="86" t="s">
        <v>120</v>
      </c>
      <c r="C120" s="47"/>
      <c r="D120" s="47"/>
      <c r="E120" s="47" t="s">
        <v>120</v>
      </c>
      <c r="F120" s="47"/>
      <c r="G120" s="47"/>
      <c r="H120" s="47"/>
    </row>
    <row r="121" spans="2:8" x14ac:dyDescent="0.35">
      <c r="B121" s="86"/>
      <c r="C121" s="90"/>
      <c r="D121" s="47"/>
      <c r="E121" s="47" t="s">
        <v>120</v>
      </c>
      <c r="F121" s="47"/>
      <c r="G121" s="47"/>
      <c r="H121" s="47"/>
    </row>
    <row r="122" spans="2:8" x14ac:dyDescent="0.35">
      <c r="B122" s="44" t="s">
        <v>121</v>
      </c>
      <c r="C122" s="91">
        <f>SUM(C114:C121)</f>
        <v>-21204</v>
      </c>
      <c r="D122" s="91">
        <f>SUM(D114:D121)</f>
        <v>-16260</v>
      </c>
      <c r="E122" s="91">
        <f>+C122+D122</f>
        <v>-37464</v>
      </c>
      <c r="F122" s="91">
        <f>SUM(F115:F121)</f>
        <v>-520</v>
      </c>
      <c r="G122" s="91">
        <f>SUM(G115:G121)</f>
        <v>0</v>
      </c>
      <c r="H122" s="91">
        <f>SUM(H115:H121)</f>
        <v>0</v>
      </c>
    </row>
    <row r="123" spans="2:8" x14ac:dyDescent="0.35">
      <c r="B123" s="44" t="s">
        <v>72</v>
      </c>
      <c r="C123" s="47"/>
      <c r="D123" s="47"/>
      <c r="E123" s="47">
        <f t="shared" ref="E123:E126" si="17">+C123+D123</f>
        <v>0</v>
      </c>
      <c r="F123" s="47"/>
      <c r="G123" s="47"/>
      <c r="H123" s="47"/>
    </row>
    <row r="124" spans="2:8" x14ac:dyDescent="0.35">
      <c r="B124" s="61" t="s">
        <v>73</v>
      </c>
      <c r="C124" s="58">
        <f>C114+C115+C116+C120</f>
        <v>-20604</v>
      </c>
      <c r="D124" s="58">
        <f>D114+D115+D116+D120</f>
        <v>-16260</v>
      </c>
      <c r="E124" s="58">
        <f>E114+E115+E116</f>
        <v>-36864</v>
      </c>
      <c r="F124" s="58">
        <f>+F115+F116+F120</f>
        <v>-520</v>
      </c>
      <c r="G124" s="58">
        <f>+G115+G116+G120</f>
        <v>0</v>
      </c>
      <c r="H124" s="58">
        <f>+H115+H116+H120</f>
        <v>0</v>
      </c>
    </row>
    <row r="125" spans="2:8" x14ac:dyDescent="0.35">
      <c r="B125" s="61" t="s">
        <v>74</v>
      </c>
      <c r="C125" s="58">
        <f t="shared" ref="C125:H125" si="18">+C117</f>
        <v>-600</v>
      </c>
      <c r="D125" s="58">
        <f t="shared" si="18"/>
        <v>0</v>
      </c>
      <c r="E125" s="58">
        <f t="shared" si="18"/>
        <v>-600</v>
      </c>
      <c r="F125" s="58">
        <f t="shared" si="18"/>
        <v>0</v>
      </c>
      <c r="G125" s="58">
        <f t="shared" si="18"/>
        <v>0</v>
      </c>
      <c r="H125" s="58">
        <f t="shared" si="18"/>
        <v>0</v>
      </c>
    </row>
    <row r="126" spans="2:8" x14ac:dyDescent="0.35">
      <c r="B126" s="86"/>
      <c r="C126" s="47"/>
      <c r="D126" s="47"/>
      <c r="E126" s="47">
        <f t="shared" si="17"/>
        <v>0</v>
      </c>
      <c r="F126" s="47"/>
      <c r="G126" s="47"/>
      <c r="H126" s="47"/>
    </row>
    <row r="127" spans="2:8" ht="29" x14ac:dyDescent="0.35">
      <c r="B127" s="45" t="s">
        <v>122</v>
      </c>
      <c r="C127" s="74">
        <f t="shared" ref="C127:H127" si="19">+C106+C122</f>
        <v>461010</v>
      </c>
      <c r="D127" s="74">
        <f t="shared" si="19"/>
        <v>67260126</v>
      </c>
      <c r="E127" s="74">
        <f t="shared" si="19"/>
        <v>67721136</v>
      </c>
      <c r="F127" s="74">
        <f t="shared" si="19"/>
        <v>5097515</v>
      </c>
      <c r="G127" s="74">
        <f t="shared" si="19"/>
        <v>-3587528</v>
      </c>
      <c r="H127" s="74">
        <f t="shared" si="19"/>
        <v>21558000</v>
      </c>
    </row>
    <row r="128" spans="2:8" x14ac:dyDescent="0.35">
      <c r="B128" s="44" t="s">
        <v>72</v>
      </c>
      <c r="C128" s="71"/>
      <c r="D128" s="71"/>
      <c r="E128" s="47"/>
      <c r="F128" s="71"/>
      <c r="G128" s="71"/>
      <c r="H128" s="71"/>
    </row>
    <row r="129" spans="2:8" x14ac:dyDescent="0.35">
      <c r="B129" s="61" t="s">
        <v>73</v>
      </c>
      <c r="C129" s="82">
        <f t="shared" ref="C129:H130" si="20">+C108+C124</f>
        <v>414966</v>
      </c>
      <c r="D129" s="82">
        <f t="shared" si="20"/>
        <v>63018104</v>
      </c>
      <c r="E129" s="82">
        <f t="shared" si="20"/>
        <v>63433070</v>
      </c>
      <c r="F129" s="82">
        <f t="shared" si="20"/>
        <v>5097515</v>
      </c>
      <c r="G129" s="82">
        <f t="shared" si="20"/>
        <v>-3587528</v>
      </c>
      <c r="H129" s="82">
        <f t="shared" si="20"/>
        <v>21558000</v>
      </c>
    </row>
    <row r="130" spans="2:8" x14ac:dyDescent="0.35">
      <c r="B130" s="61" t="s">
        <v>74</v>
      </c>
      <c r="C130" s="82">
        <f t="shared" si="20"/>
        <v>46044</v>
      </c>
      <c r="D130" s="82">
        <f t="shared" si="20"/>
        <v>4242022</v>
      </c>
      <c r="E130" s="82">
        <f t="shared" si="20"/>
        <v>4288066</v>
      </c>
      <c r="F130" s="82">
        <f t="shared" si="20"/>
        <v>0</v>
      </c>
      <c r="G130" s="82">
        <f t="shared" si="20"/>
        <v>0</v>
      </c>
      <c r="H130" s="82">
        <f t="shared" si="20"/>
        <v>0</v>
      </c>
    </row>
    <row r="131" spans="2:8" x14ac:dyDescent="0.35">
      <c r="B131" s="61"/>
      <c r="C131" s="71"/>
      <c r="D131" s="71"/>
      <c r="E131" s="47"/>
      <c r="F131" s="71"/>
      <c r="G131" s="71"/>
      <c r="H131" s="71"/>
    </row>
    <row r="132" spans="2:8" x14ac:dyDescent="0.35">
      <c r="B132" s="92"/>
      <c r="C132" s="93"/>
      <c r="D132" s="93"/>
      <c r="E132" s="93"/>
      <c r="F132" s="93"/>
      <c r="G132" s="93"/>
      <c r="H132" s="93"/>
    </row>
    <row r="133" spans="2:8" ht="29" x14ac:dyDescent="0.35">
      <c r="B133" s="94" t="s">
        <v>123</v>
      </c>
      <c r="C133" s="47"/>
      <c r="D133" s="47"/>
      <c r="E133" s="47"/>
      <c r="F133" s="47"/>
      <c r="G133" s="47"/>
      <c r="H133" s="47"/>
    </row>
    <row r="134" spans="2:8" x14ac:dyDescent="0.35">
      <c r="B134" s="86"/>
      <c r="C134" s="47"/>
      <c r="D134" s="47"/>
      <c r="E134" s="47"/>
      <c r="F134" s="47"/>
      <c r="G134" s="47"/>
      <c r="H134" s="47"/>
    </row>
    <row r="135" spans="2:8" ht="29" x14ac:dyDescent="0.35">
      <c r="B135" s="86" t="s">
        <v>124</v>
      </c>
      <c r="C135" s="47">
        <v>4046</v>
      </c>
      <c r="D135" s="47"/>
      <c r="E135" s="47">
        <f>+C135+D135</f>
        <v>4046</v>
      </c>
      <c r="F135" s="47"/>
      <c r="G135" s="47"/>
      <c r="H135" s="47"/>
    </row>
    <row r="136" spans="2:8" ht="29" x14ac:dyDescent="0.35">
      <c r="B136" s="86" t="s">
        <v>125</v>
      </c>
      <c r="C136" s="47"/>
      <c r="D136" s="47">
        <v>75000</v>
      </c>
      <c r="E136" s="47">
        <f t="shared" ref="E136" si="21">+C136+D136</f>
        <v>75000</v>
      </c>
      <c r="F136" s="47"/>
      <c r="G136" s="47"/>
      <c r="H136" s="47"/>
    </row>
    <row r="137" spans="2:8" x14ac:dyDescent="0.35">
      <c r="B137" s="94" t="s">
        <v>126</v>
      </c>
      <c r="C137" s="47"/>
      <c r="D137" s="47"/>
      <c r="E137" s="47"/>
      <c r="F137" s="47"/>
      <c r="G137" s="47"/>
      <c r="H137" s="47"/>
    </row>
    <row r="138" spans="2:8" x14ac:dyDescent="0.35">
      <c r="B138" s="86" t="s">
        <v>127</v>
      </c>
      <c r="C138" s="47">
        <f>2000-2000</f>
        <v>0</v>
      </c>
      <c r="D138" s="47">
        <f>2000+2000</f>
        <v>4000</v>
      </c>
      <c r="E138" s="47">
        <f>+C138+D138</f>
        <v>4000</v>
      </c>
      <c r="F138" s="47">
        <v>6000</v>
      </c>
      <c r="G138" s="47"/>
      <c r="H138" s="47"/>
    </row>
    <row r="139" spans="2:8" ht="29" x14ac:dyDescent="0.35">
      <c r="B139" s="86" t="s">
        <v>128</v>
      </c>
      <c r="C139" s="47">
        <v>600</v>
      </c>
      <c r="D139" s="47">
        <v>39100</v>
      </c>
      <c r="E139" s="47">
        <f>+C139+D139</f>
        <v>39700</v>
      </c>
      <c r="F139" s="47"/>
      <c r="G139" s="47"/>
      <c r="H139" s="47"/>
    </row>
    <row r="140" spans="2:8" x14ac:dyDescent="0.35">
      <c r="B140" s="86" t="s">
        <v>129</v>
      </c>
      <c r="C140" s="47"/>
      <c r="D140" s="47">
        <v>20000</v>
      </c>
      <c r="E140" s="47">
        <f>+C140+D140</f>
        <v>20000</v>
      </c>
      <c r="F140" s="47"/>
      <c r="G140" s="47"/>
      <c r="H140" s="47"/>
    </row>
    <row r="141" spans="2:8" x14ac:dyDescent="0.35">
      <c r="B141" s="86" t="s">
        <v>130</v>
      </c>
      <c r="C141" s="47"/>
      <c r="D141" s="47">
        <v>5000</v>
      </c>
      <c r="E141" s="47">
        <f>+C141+D141</f>
        <v>5000</v>
      </c>
      <c r="F141" s="47"/>
      <c r="G141" s="47"/>
      <c r="H141" s="47"/>
    </row>
    <row r="142" spans="2:8" x14ac:dyDescent="0.35">
      <c r="B142" s="86" t="s">
        <v>131</v>
      </c>
      <c r="C142" s="47"/>
      <c r="D142" s="47">
        <v>3500</v>
      </c>
      <c r="E142" s="47">
        <f>+C142+D142</f>
        <v>3500</v>
      </c>
      <c r="F142" s="47"/>
      <c r="G142" s="47"/>
      <c r="H142" s="47"/>
    </row>
    <row r="143" spans="2:8" x14ac:dyDescent="0.35">
      <c r="B143" s="95" t="s">
        <v>132</v>
      </c>
      <c r="C143" s="96">
        <f>SUM(C138:C142)</f>
        <v>600</v>
      </c>
      <c r="D143" s="96">
        <f>SUM(D138:D142)</f>
        <v>71600</v>
      </c>
      <c r="E143" s="96">
        <f t="shared" ref="E143" si="22">+C143+D143</f>
        <v>72200</v>
      </c>
      <c r="F143" s="96">
        <f>SUM(F138:F142)</f>
        <v>6000</v>
      </c>
      <c r="G143" s="96">
        <f>SUM(G138:G142)</f>
        <v>0</v>
      </c>
      <c r="H143" s="96">
        <f>SUM(H138:H142)</f>
        <v>0</v>
      </c>
    </row>
    <row r="144" spans="2:8" x14ac:dyDescent="0.35">
      <c r="B144" s="86"/>
      <c r="C144" s="47"/>
      <c r="D144" s="47"/>
      <c r="E144" s="47">
        <f>+C144+D144</f>
        <v>0</v>
      </c>
      <c r="F144" s="47"/>
      <c r="G144" s="47"/>
      <c r="H144" s="47"/>
    </row>
    <row r="145" spans="2:8" ht="29" x14ac:dyDescent="0.35">
      <c r="B145" s="86" t="s">
        <v>133</v>
      </c>
      <c r="C145" s="47"/>
      <c r="D145" s="47">
        <v>269</v>
      </c>
      <c r="E145" s="47">
        <f>+C145+D145</f>
        <v>269</v>
      </c>
      <c r="F145" s="47"/>
      <c r="G145" s="47"/>
      <c r="H145" s="47"/>
    </row>
    <row r="146" spans="2:8" ht="29" x14ac:dyDescent="0.35">
      <c r="B146" s="97" t="s">
        <v>134</v>
      </c>
      <c r="C146" s="63">
        <f>+C135+C143+C144+C145</f>
        <v>4646</v>
      </c>
      <c r="D146" s="63">
        <f>+D135+D136+D143+D144+D145</f>
        <v>146869</v>
      </c>
      <c r="E146" s="63">
        <f>+E135+E136+E143+E144+E145</f>
        <v>151515</v>
      </c>
      <c r="F146" s="63">
        <f>+F135+F143+F144+F145</f>
        <v>6000</v>
      </c>
      <c r="G146" s="63">
        <f>+G135+G143+G144+G145</f>
        <v>0</v>
      </c>
      <c r="H146" s="63">
        <f>+H135+H143+H144+H145</f>
        <v>0</v>
      </c>
    </row>
    <row r="147" spans="2:8" x14ac:dyDescent="0.35">
      <c r="B147" s="97" t="s">
        <v>72</v>
      </c>
      <c r="C147" s="47"/>
      <c r="D147" s="47"/>
      <c r="E147" s="47"/>
      <c r="F147" s="47"/>
      <c r="G147" s="47"/>
      <c r="H147" s="47"/>
    </row>
    <row r="148" spans="2:8" x14ac:dyDescent="0.35">
      <c r="B148" s="98" t="s">
        <v>73</v>
      </c>
      <c r="C148" s="82">
        <f t="shared" ref="C148:H148" si="23">+C135+C143+C144+C145+C136</f>
        <v>4646</v>
      </c>
      <c r="D148" s="82">
        <f t="shared" si="23"/>
        <v>146869</v>
      </c>
      <c r="E148" s="82">
        <f t="shared" si="23"/>
        <v>151515</v>
      </c>
      <c r="F148" s="82">
        <f t="shared" si="23"/>
        <v>6000</v>
      </c>
      <c r="G148" s="82">
        <f t="shared" si="23"/>
        <v>0</v>
      </c>
      <c r="H148" s="82">
        <f t="shared" si="23"/>
        <v>0</v>
      </c>
    </row>
    <row r="149" spans="2:8" x14ac:dyDescent="0.35">
      <c r="B149" s="98" t="s">
        <v>74</v>
      </c>
      <c r="C149" s="71"/>
      <c r="D149" s="71"/>
      <c r="E149" s="71"/>
      <c r="F149" s="71"/>
      <c r="G149" s="71"/>
      <c r="H149" s="71"/>
    </row>
    <row r="150" spans="2:8" x14ac:dyDescent="0.35">
      <c r="B150" s="31"/>
      <c r="C150" s="83"/>
      <c r="D150" s="83"/>
      <c r="E150" s="83"/>
      <c r="F150" s="83"/>
      <c r="G150" s="83"/>
      <c r="H150" s="83"/>
    </row>
    <row r="151" spans="2:8" ht="29" x14ac:dyDescent="0.35">
      <c r="B151" s="84" t="s">
        <v>135</v>
      </c>
      <c r="C151" s="74">
        <f t="shared" ref="C151:H151" si="24">+C127+C146</f>
        <v>465656</v>
      </c>
      <c r="D151" s="74">
        <f t="shared" si="24"/>
        <v>67406995</v>
      </c>
      <c r="E151" s="74">
        <f t="shared" si="24"/>
        <v>67872651</v>
      </c>
      <c r="F151" s="74">
        <f t="shared" si="24"/>
        <v>5103515</v>
      </c>
      <c r="G151" s="74">
        <f t="shared" si="24"/>
        <v>-3587528</v>
      </c>
      <c r="H151" s="74">
        <f t="shared" si="24"/>
        <v>21558000</v>
      </c>
    </row>
    <row r="152" spans="2:8" x14ac:dyDescent="0.35">
      <c r="B152" s="97" t="s">
        <v>72</v>
      </c>
      <c r="C152" s="71"/>
      <c r="D152" s="71"/>
      <c r="E152" s="47"/>
      <c r="F152" s="71"/>
      <c r="G152" s="71"/>
      <c r="H152" s="71"/>
    </row>
    <row r="153" spans="2:8" x14ac:dyDescent="0.35">
      <c r="B153" s="98" t="s">
        <v>73</v>
      </c>
      <c r="C153" s="82">
        <f t="shared" ref="C153:H154" si="25">+C129+C148</f>
        <v>419612</v>
      </c>
      <c r="D153" s="82">
        <f t="shared" si="25"/>
        <v>63164973</v>
      </c>
      <c r="E153" s="82">
        <f t="shared" si="25"/>
        <v>63584585</v>
      </c>
      <c r="F153" s="82">
        <f t="shared" si="25"/>
        <v>5103515</v>
      </c>
      <c r="G153" s="82">
        <f t="shared" si="25"/>
        <v>-3587528</v>
      </c>
      <c r="H153" s="82">
        <f t="shared" si="25"/>
        <v>21558000</v>
      </c>
    </row>
    <row r="154" spans="2:8" x14ac:dyDescent="0.35">
      <c r="B154" s="98" t="s">
        <v>74</v>
      </c>
      <c r="C154" s="82">
        <f t="shared" si="25"/>
        <v>46044</v>
      </c>
      <c r="D154" s="82">
        <f t="shared" si="25"/>
        <v>4242022</v>
      </c>
      <c r="E154" s="82">
        <f t="shared" si="25"/>
        <v>4288066</v>
      </c>
      <c r="F154" s="82">
        <f t="shared" si="25"/>
        <v>0</v>
      </c>
      <c r="G154" s="82">
        <f t="shared" si="25"/>
        <v>0</v>
      </c>
      <c r="H154" s="82">
        <f t="shared" si="25"/>
        <v>0</v>
      </c>
    </row>
    <row r="155" spans="2:8" x14ac:dyDescent="0.35">
      <c r="B155" s="99"/>
      <c r="C155" s="93"/>
      <c r="D155" s="93"/>
      <c r="E155" s="93"/>
      <c r="F155" s="93"/>
      <c r="G155" s="93"/>
      <c r="H155" s="93"/>
    </row>
    <row r="156" spans="2:8" x14ac:dyDescent="0.35">
      <c r="B156" s="100" t="s">
        <v>136</v>
      </c>
      <c r="C156" s="82"/>
      <c r="D156" s="82"/>
      <c r="E156" s="82"/>
      <c r="F156" s="82"/>
      <c r="G156" s="82"/>
      <c r="H156" s="82"/>
    </row>
    <row r="157" spans="2:8" x14ac:dyDescent="0.35">
      <c r="B157" s="86"/>
      <c r="C157" s="82"/>
      <c r="D157" s="82"/>
      <c r="E157" s="82"/>
      <c r="F157" s="82"/>
      <c r="G157" s="82"/>
      <c r="H157" s="82"/>
    </row>
    <row r="158" spans="2:8" ht="29" x14ac:dyDescent="0.35">
      <c r="B158" s="84" t="s">
        <v>137</v>
      </c>
      <c r="C158" s="101"/>
      <c r="D158" s="101"/>
      <c r="E158" s="101"/>
      <c r="F158" s="101"/>
      <c r="G158" s="101"/>
      <c r="H158" s="101"/>
    </row>
    <row r="159" spans="2:8" x14ac:dyDescent="0.35">
      <c r="B159" s="88" t="s">
        <v>138</v>
      </c>
      <c r="C159" s="47"/>
      <c r="D159" s="47">
        <v>-2000</v>
      </c>
      <c r="E159" s="47">
        <f t="shared" ref="E159:E165" si="26">+C159+D159</f>
        <v>-2000</v>
      </c>
      <c r="F159" s="47"/>
      <c r="G159" s="47"/>
      <c r="H159" s="47"/>
    </row>
    <row r="160" spans="2:8" ht="29" x14ac:dyDescent="0.35">
      <c r="B160" s="88" t="s">
        <v>139</v>
      </c>
      <c r="C160" s="47">
        <v>-17</v>
      </c>
      <c r="D160" s="102"/>
      <c r="E160" s="47">
        <f t="shared" si="26"/>
        <v>-17</v>
      </c>
      <c r="F160" s="47"/>
      <c r="G160" s="47"/>
      <c r="H160" s="47"/>
    </row>
    <row r="161" spans="2:8" ht="29" x14ac:dyDescent="0.35">
      <c r="B161" s="88" t="s">
        <v>140</v>
      </c>
      <c r="C161" s="47"/>
      <c r="D161" s="102"/>
      <c r="E161" s="47">
        <f t="shared" si="26"/>
        <v>0</v>
      </c>
      <c r="F161" s="47">
        <v>-130000</v>
      </c>
      <c r="G161" s="47"/>
      <c r="H161" s="47"/>
    </row>
    <row r="162" spans="2:8" x14ac:dyDescent="0.35">
      <c r="B162" s="88" t="s">
        <v>141</v>
      </c>
      <c r="C162" s="47"/>
      <c r="D162" s="102">
        <v>-209</v>
      </c>
      <c r="E162" s="47">
        <f t="shared" si="26"/>
        <v>-209</v>
      </c>
      <c r="F162" s="47"/>
      <c r="G162" s="47"/>
      <c r="H162" s="47"/>
    </row>
    <row r="163" spans="2:8" x14ac:dyDescent="0.35">
      <c r="B163" s="88" t="s">
        <v>142</v>
      </c>
      <c r="C163" s="47"/>
      <c r="D163" s="102">
        <v>-956</v>
      </c>
      <c r="E163" s="47">
        <f t="shared" si="26"/>
        <v>-956</v>
      </c>
      <c r="F163" s="47"/>
      <c r="G163" s="47"/>
      <c r="H163" s="47"/>
    </row>
    <row r="164" spans="2:8" x14ac:dyDescent="0.35">
      <c r="B164" s="88" t="s">
        <v>143</v>
      </c>
      <c r="C164" s="47">
        <v>-870</v>
      </c>
      <c r="D164" s="47"/>
      <c r="E164" s="47">
        <f t="shared" si="26"/>
        <v>-870</v>
      </c>
      <c r="F164" s="47"/>
      <c r="G164" s="47"/>
      <c r="H164" s="47"/>
    </row>
    <row r="165" spans="2:8" x14ac:dyDescent="0.35">
      <c r="B165" s="88" t="s">
        <v>144</v>
      </c>
      <c r="C165" s="47"/>
      <c r="D165" s="47">
        <v>-15</v>
      </c>
      <c r="E165" s="47">
        <f t="shared" si="26"/>
        <v>-15</v>
      </c>
      <c r="F165" s="47"/>
      <c r="G165" s="47"/>
      <c r="H165" s="47"/>
    </row>
    <row r="166" spans="2:8" x14ac:dyDescent="0.35">
      <c r="B166" s="103" t="s">
        <v>145</v>
      </c>
      <c r="C166" s="96">
        <f t="shared" ref="C166:H166" si="27">SUM(C159:C165)</f>
        <v>-887</v>
      </c>
      <c r="D166" s="96">
        <f t="shared" si="27"/>
        <v>-3180</v>
      </c>
      <c r="E166" s="96">
        <f t="shared" si="27"/>
        <v>-4067</v>
      </c>
      <c r="F166" s="96">
        <f t="shared" si="27"/>
        <v>-130000</v>
      </c>
      <c r="G166" s="96">
        <f t="shared" si="27"/>
        <v>0</v>
      </c>
      <c r="H166" s="96">
        <f t="shared" si="27"/>
        <v>0</v>
      </c>
    </row>
    <row r="167" spans="2:8" x14ac:dyDescent="0.35">
      <c r="B167" s="88"/>
      <c r="C167" s="47"/>
      <c r="D167" s="47"/>
      <c r="E167" s="47"/>
      <c r="F167" s="47"/>
      <c r="G167" s="47"/>
      <c r="H167" s="47"/>
    </row>
    <row r="168" spans="2:8" x14ac:dyDescent="0.35">
      <c r="B168" s="104"/>
      <c r="C168" s="47"/>
      <c r="D168" s="47"/>
      <c r="E168" s="47"/>
      <c r="F168" s="47"/>
      <c r="G168" s="47"/>
      <c r="H168" s="47"/>
    </row>
    <row r="169" spans="2:8" x14ac:dyDescent="0.35">
      <c r="B169" s="105" t="s">
        <v>146</v>
      </c>
      <c r="C169" s="47"/>
      <c r="D169" s="47"/>
      <c r="E169" s="47"/>
      <c r="F169" s="47"/>
      <c r="G169" s="47"/>
      <c r="H169" s="47"/>
    </row>
    <row r="170" spans="2:8" x14ac:dyDescent="0.35">
      <c r="B170" s="106" t="s">
        <v>147</v>
      </c>
      <c r="C170" s="47"/>
      <c r="D170" s="47"/>
      <c r="E170" s="47"/>
      <c r="F170" s="47"/>
      <c r="G170" s="47"/>
      <c r="H170" s="47"/>
    </row>
    <row r="171" spans="2:8" x14ac:dyDescent="0.35">
      <c r="B171" s="107"/>
      <c r="C171" s="47">
        <f>2000-2000</f>
        <v>0</v>
      </c>
      <c r="D171" s="47">
        <f>-2000+2000</f>
        <v>0</v>
      </c>
      <c r="E171" s="47">
        <f>+C171+D171</f>
        <v>0</v>
      </c>
      <c r="F171" s="47"/>
      <c r="G171" s="47"/>
      <c r="H171" s="47"/>
    </row>
    <row r="172" spans="2:8" x14ac:dyDescent="0.35">
      <c r="B172" s="108" t="s">
        <v>148</v>
      </c>
      <c r="C172" s="47"/>
      <c r="D172" s="47"/>
      <c r="E172" s="47"/>
      <c r="F172" s="47"/>
      <c r="G172" s="47"/>
      <c r="H172" s="47"/>
    </row>
    <row r="173" spans="2:8" ht="29" x14ac:dyDescent="0.35">
      <c r="B173" s="108" t="s">
        <v>149</v>
      </c>
      <c r="C173" s="47">
        <v>8793</v>
      </c>
      <c r="D173" s="47">
        <v>645265</v>
      </c>
      <c r="E173" s="47">
        <f t="shared" ref="E173:E174" si="28">+C173+D173</f>
        <v>654058</v>
      </c>
      <c r="F173" s="47"/>
      <c r="G173" s="47"/>
      <c r="H173" s="47"/>
    </row>
    <row r="174" spans="2:8" ht="29" x14ac:dyDescent="0.35">
      <c r="B174" s="108" t="s">
        <v>150</v>
      </c>
      <c r="C174" s="47">
        <v>-355</v>
      </c>
      <c r="D174" s="47">
        <v>355</v>
      </c>
      <c r="E174" s="47">
        <f t="shared" si="28"/>
        <v>0</v>
      </c>
      <c r="F174" s="47">
        <v>445</v>
      </c>
      <c r="G174" s="47">
        <f>486+2</f>
        <v>488</v>
      </c>
      <c r="H174" s="47">
        <v>-470</v>
      </c>
    </row>
    <row r="175" spans="2:8" x14ac:dyDescent="0.35">
      <c r="B175" s="108"/>
      <c r="C175" s="47"/>
      <c r="D175" s="47"/>
      <c r="E175" s="47"/>
      <c r="F175" s="47"/>
      <c r="G175" s="47"/>
      <c r="H175" s="47"/>
    </row>
    <row r="176" spans="2:8" ht="29" x14ac:dyDescent="0.35">
      <c r="B176" s="45" t="s">
        <v>151</v>
      </c>
      <c r="C176" s="63">
        <f>(C166+C171+C173+C174)</f>
        <v>7551</v>
      </c>
      <c r="D176" s="63">
        <f>(D166+D171+D173+D174)</f>
        <v>642440</v>
      </c>
      <c r="E176" s="63">
        <f>(E166+E171+E173+E174)</f>
        <v>649991</v>
      </c>
      <c r="F176" s="63">
        <f>+F166+F171+F174</f>
        <v>-129555</v>
      </c>
      <c r="G176" s="63">
        <f>+G166+G171+G174</f>
        <v>488</v>
      </c>
      <c r="H176" s="63">
        <f>+H166+H171+H174</f>
        <v>-470</v>
      </c>
    </row>
    <row r="177" spans="2:8" x14ac:dyDescent="0.35">
      <c r="B177" s="44" t="s">
        <v>72</v>
      </c>
      <c r="C177" s="47"/>
      <c r="D177" s="47"/>
      <c r="E177" s="47"/>
      <c r="F177" s="47"/>
      <c r="G177" s="47"/>
      <c r="H177" s="47"/>
    </row>
    <row r="178" spans="2:8" x14ac:dyDescent="0.35">
      <c r="B178" s="61" t="s">
        <v>73</v>
      </c>
      <c r="C178" s="58">
        <f>+C166+C171+C173+C174</f>
        <v>7551</v>
      </c>
      <c r="D178" s="58">
        <f>+D166+D171+D173+D174</f>
        <v>642440</v>
      </c>
      <c r="E178" s="58">
        <f>+C178+D178</f>
        <v>649991</v>
      </c>
      <c r="F178" s="58">
        <f>+F166+F171+F173+F174</f>
        <v>-129555</v>
      </c>
      <c r="G178" s="58">
        <f>+G166+G171+G173+G174</f>
        <v>488</v>
      </c>
      <c r="H178" s="58">
        <f>+H166+H171+H173+H174</f>
        <v>-470</v>
      </c>
    </row>
    <row r="179" spans="2:8" x14ac:dyDescent="0.35">
      <c r="B179" s="61" t="s">
        <v>74</v>
      </c>
      <c r="C179" s="58">
        <v>0</v>
      </c>
      <c r="D179" s="58">
        <v>0</v>
      </c>
      <c r="E179" s="47">
        <f t="shared" ref="E179" si="29">+C179+D179</f>
        <v>0</v>
      </c>
      <c r="F179" s="47"/>
      <c r="G179" s="47"/>
      <c r="H179" s="47"/>
    </row>
    <row r="180" spans="2:8" x14ac:dyDescent="0.35">
      <c r="B180" s="108"/>
      <c r="C180" s="47"/>
      <c r="D180" s="47"/>
      <c r="E180" s="47"/>
      <c r="F180" s="47"/>
      <c r="G180" s="47"/>
      <c r="H180" s="47"/>
    </row>
    <row r="181" spans="2:8" x14ac:dyDescent="0.35">
      <c r="B181" s="92"/>
      <c r="C181" s="93"/>
      <c r="D181" s="93"/>
      <c r="E181" s="93"/>
      <c r="F181" s="93"/>
      <c r="G181" s="93"/>
      <c r="H181" s="93"/>
    </row>
    <row r="182" spans="2:8" ht="29" x14ac:dyDescent="0.35">
      <c r="B182" s="109" t="s">
        <v>152</v>
      </c>
      <c r="C182" s="110">
        <f t="shared" ref="C182:H182" si="30">+C151+C176</f>
        <v>473207</v>
      </c>
      <c r="D182" s="110">
        <f t="shared" si="30"/>
        <v>68049435</v>
      </c>
      <c r="E182" s="110">
        <f t="shared" si="30"/>
        <v>68522642</v>
      </c>
      <c r="F182" s="110">
        <f t="shared" si="30"/>
        <v>4973960</v>
      </c>
      <c r="G182" s="110">
        <f t="shared" si="30"/>
        <v>-3587040</v>
      </c>
      <c r="H182" s="110">
        <f t="shared" si="30"/>
        <v>21557530</v>
      </c>
    </row>
    <row r="183" spans="2:8" x14ac:dyDescent="0.35">
      <c r="B183" s="97" t="s">
        <v>72</v>
      </c>
      <c r="C183" s="71"/>
      <c r="D183" s="71"/>
      <c r="E183" s="47"/>
      <c r="F183" s="71"/>
      <c r="G183" s="71"/>
      <c r="H183" s="71"/>
    </row>
    <row r="184" spans="2:8" x14ac:dyDescent="0.35">
      <c r="B184" s="98" t="s">
        <v>73</v>
      </c>
      <c r="C184" s="82">
        <f t="shared" ref="C184:H185" si="31">+C153+C178</f>
        <v>427163</v>
      </c>
      <c r="D184" s="82">
        <f t="shared" si="31"/>
        <v>63807413</v>
      </c>
      <c r="E184" s="82">
        <f t="shared" si="31"/>
        <v>64234576</v>
      </c>
      <c r="F184" s="82">
        <f t="shared" si="31"/>
        <v>4973960</v>
      </c>
      <c r="G184" s="82">
        <f t="shared" si="31"/>
        <v>-3587040</v>
      </c>
      <c r="H184" s="82">
        <f t="shared" si="31"/>
        <v>21557530</v>
      </c>
    </row>
    <row r="185" spans="2:8" x14ac:dyDescent="0.35">
      <c r="B185" s="98" t="s">
        <v>74</v>
      </c>
      <c r="C185" s="82">
        <f t="shared" si="31"/>
        <v>46044</v>
      </c>
      <c r="D185" s="82">
        <f t="shared" si="31"/>
        <v>4242022</v>
      </c>
      <c r="E185" s="82">
        <f t="shared" si="31"/>
        <v>4288066</v>
      </c>
      <c r="F185" s="82">
        <f t="shared" si="31"/>
        <v>0</v>
      </c>
      <c r="G185" s="82">
        <f t="shared" si="31"/>
        <v>0</v>
      </c>
      <c r="H185" s="82">
        <f t="shared" si="31"/>
        <v>0</v>
      </c>
    </row>
    <row r="186" spans="2:8" x14ac:dyDescent="0.35">
      <c r="B186" s="99"/>
      <c r="C186" s="93"/>
      <c r="D186" s="93"/>
      <c r="E186" s="93"/>
      <c r="F186" s="93"/>
      <c r="G186" s="93"/>
      <c r="H186" s="93"/>
    </row>
    <row r="187" spans="2:8" x14ac:dyDescent="0.35">
      <c r="B187" s="100"/>
      <c r="C187" s="55"/>
      <c r="D187" s="55"/>
      <c r="E187" s="55"/>
      <c r="F187" s="55"/>
      <c r="G187" s="55"/>
      <c r="H187" s="55"/>
    </row>
    <row r="188" spans="2:8" x14ac:dyDescent="0.35">
      <c r="B188" s="100" t="s">
        <v>153</v>
      </c>
      <c r="C188" s="55"/>
      <c r="D188" s="55"/>
      <c r="E188" s="55"/>
      <c r="F188" s="55"/>
      <c r="G188" s="55"/>
      <c r="H188" s="55"/>
    </row>
    <row r="189" spans="2:8" x14ac:dyDescent="0.35">
      <c r="B189" s="86" t="s">
        <v>154</v>
      </c>
      <c r="C189" s="55"/>
      <c r="D189" s="55"/>
      <c r="E189" s="55">
        <f>SUM(C189:D189)</f>
        <v>0</v>
      </c>
      <c r="F189" s="47"/>
      <c r="G189" s="47"/>
      <c r="H189" s="47"/>
    </row>
    <row r="190" spans="2:8" x14ac:dyDescent="0.35">
      <c r="B190" s="97" t="s">
        <v>72</v>
      </c>
      <c r="C190" s="47"/>
      <c r="D190" s="47"/>
      <c r="E190" s="47"/>
      <c r="F190" s="47"/>
      <c r="G190" s="47"/>
      <c r="H190" s="47"/>
    </row>
    <row r="191" spans="2:8" x14ac:dyDescent="0.35">
      <c r="B191" s="98" t="s">
        <v>73</v>
      </c>
      <c r="C191" s="47"/>
      <c r="D191" s="47"/>
      <c r="E191" s="47"/>
      <c r="F191" s="47"/>
      <c r="G191" s="47"/>
      <c r="H191" s="47"/>
    </row>
    <row r="192" spans="2:8" x14ac:dyDescent="0.35">
      <c r="B192" s="98" t="s">
        <v>74</v>
      </c>
      <c r="C192" s="47"/>
      <c r="D192" s="47"/>
      <c r="E192" s="47"/>
      <c r="F192" s="47"/>
      <c r="G192" s="47"/>
      <c r="H192" s="47"/>
    </row>
    <row r="193" spans="2:8" x14ac:dyDescent="0.35">
      <c r="B193" s="103"/>
      <c r="C193" s="47"/>
      <c r="D193" s="47"/>
      <c r="E193" s="47"/>
      <c r="F193" s="47"/>
      <c r="G193" s="47"/>
      <c r="H193" s="47"/>
    </row>
    <row r="194" spans="2:8" x14ac:dyDescent="0.35">
      <c r="B194" s="86" t="s">
        <v>155</v>
      </c>
      <c r="C194" s="111">
        <f t="shared" ref="C194:H194" si="32">+C182-C189</f>
        <v>473207</v>
      </c>
      <c r="D194" s="111">
        <f t="shared" si="32"/>
        <v>68049435</v>
      </c>
      <c r="E194" s="111">
        <f t="shared" si="32"/>
        <v>68522642</v>
      </c>
      <c r="F194" s="47">
        <f t="shared" si="32"/>
        <v>4973960</v>
      </c>
      <c r="G194" s="47">
        <f t="shared" si="32"/>
        <v>-3587040</v>
      </c>
      <c r="H194" s="47">
        <f t="shared" si="32"/>
        <v>21557530</v>
      </c>
    </row>
    <row r="195" spans="2:8" ht="43.5" hidden="1" x14ac:dyDescent="0.35">
      <c r="B195" s="95" t="s">
        <v>156</v>
      </c>
      <c r="C195" s="112">
        <f t="shared" ref="C195:H196" si="33">+C184-C191</f>
        <v>427163</v>
      </c>
      <c r="D195" s="112">
        <f t="shared" si="33"/>
        <v>63807413</v>
      </c>
      <c r="E195" s="112">
        <f t="shared" si="33"/>
        <v>64234576</v>
      </c>
      <c r="F195" s="112">
        <f t="shared" si="33"/>
        <v>4973960</v>
      </c>
      <c r="G195" s="112">
        <f t="shared" si="33"/>
        <v>-3587040</v>
      </c>
      <c r="H195" s="112">
        <f t="shared" si="33"/>
        <v>21557530</v>
      </c>
    </row>
    <row r="196" spans="2:8" hidden="1" x14ac:dyDescent="0.35">
      <c r="B196" s="95"/>
      <c r="C196" s="113">
        <f t="shared" si="33"/>
        <v>46044</v>
      </c>
      <c r="D196" s="113">
        <f t="shared" si="33"/>
        <v>4242022</v>
      </c>
      <c r="E196" s="113">
        <f t="shared" si="33"/>
        <v>4288066</v>
      </c>
      <c r="F196" s="113">
        <f t="shared" si="33"/>
        <v>0</v>
      </c>
      <c r="G196" s="113">
        <f t="shared" si="33"/>
        <v>0</v>
      </c>
      <c r="H196" s="113">
        <f t="shared" si="33"/>
        <v>0</v>
      </c>
    </row>
    <row r="197" spans="2:8" hidden="1" x14ac:dyDescent="0.35">
      <c r="B197" s="86"/>
      <c r="C197" s="47"/>
      <c r="D197" s="47"/>
      <c r="E197" s="91"/>
      <c r="F197" s="91"/>
      <c r="G197" s="91"/>
      <c r="H197" s="91"/>
    </row>
    <row r="198" spans="2:8" hidden="1" x14ac:dyDescent="0.35">
      <c r="B198" s="88"/>
      <c r="C198" s="47"/>
      <c r="D198" s="102"/>
      <c r="E198" s="47"/>
      <c r="F198" s="47"/>
      <c r="G198" s="47"/>
      <c r="H198" s="47"/>
    </row>
    <row r="199" spans="2:8" hidden="1" x14ac:dyDescent="0.35">
      <c r="B199" s="86"/>
      <c r="C199" s="91">
        <v>0</v>
      </c>
      <c r="D199" s="91">
        <v>0</v>
      </c>
      <c r="E199" s="91">
        <v>0</v>
      </c>
      <c r="F199" s="91">
        <v>0</v>
      </c>
      <c r="G199" s="91">
        <v>0</v>
      </c>
      <c r="H199" s="91">
        <v>0</v>
      </c>
    </row>
    <row r="200" spans="2:8" x14ac:dyDescent="0.35">
      <c r="B200" s="86"/>
      <c r="C200" s="47"/>
      <c r="D200" s="47"/>
      <c r="E200" s="47"/>
      <c r="F200" s="47"/>
      <c r="G200" s="47"/>
      <c r="H200" s="47"/>
    </row>
    <row r="201" spans="2:8" x14ac:dyDescent="0.35">
      <c r="B201" s="86"/>
      <c r="C201" s="93">
        <f t="shared" ref="C201:H201" si="34">+C194-C199</f>
        <v>473207</v>
      </c>
      <c r="D201" s="93">
        <f t="shared" si="34"/>
        <v>68049435</v>
      </c>
      <c r="E201" s="93">
        <f t="shared" si="34"/>
        <v>68522642</v>
      </c>
      <c r="F201" s="90">
        <f t="shared" si="34"/>
        <v>4973960</v>
      </c>
      <c r="G201" s="90">
        <f t="shared" si="34"/>
        <v>-3587040</v>
      </c>
      <c r="H201" s="90">
        <f t="shared" si="34"/>
        <v>21557530</v>
      </c>
    </row>
    <row r="202" spans="2:8" x14ac:dyDescent="0.35">
      <c r="B202" s="94" t="s">
        <v>157</v>
      </c>
      <c r="C202" s="47"/>
      <c r="D202" s="47"/>
      <c r="E202" s="47"/>
      <c r="F202" s="47"/>
      <c r="G202" s="47"/>
      <c r="H202" s="47"/>
    </row>
    <row r="203" spans="2:8" ht="29" x14ac:dyDescent="0.35">
      <c r="B203" s="94" t="s">
        <v>158</v>
      </c>
      <c r="C203" s="47"/>
      <c r="D203" s="47"/>
      <c r="E203" s="47"/>
      <c r="F203" s="47"/>
      <c r="G203" s="47"/>
      <c r="H203" s="47"/>
    </row>
    <row r="204" spans="2:8" x14ac:dyDescent="0.35">
      <c r="B204" s="86" t="s">
        <v>159</v>
      </c>
      <c r="C204" s="47">
        <f>5000-1500</f>
        <v>3500</v>
      </c>
      <c r="D204" s="47"/>
      <c r="E204" s="47">
        <f t="shared" ref="E204:E207" si="35">+C204+D204</f>
        <v>3500</v>
      </c>
      <c r="F204" s="47"/>
      <c r="G204" s="47"/>
      <c r="H204" s="47"/>
    </row>
    <row r="205" spans="2:8" x14ac:dyDescent="0.35">
      <c r="B205" s="86" t="s">
        <v>160</v>
      </c>
      <c r="C205" s="47"/>
      <c r="D205" s="47">
        <v>1700</v>
      </c>
      <c r="E205" s="47">
        <f t="shared" si="35"/>
        <v>1700</v>
      </c>
      <c r="F205" s="47"/>
      <c r="G205" s="47"/>
      <c r="H205" s="47"/>
    </row>
    <row r="206" spans="2:8" x14ac:dyDescent="0.35">
      <c r="B206" s="86" t="s">
        <v>161</v>
      </c>
      <c r="C206" s="47"/>
      <c r="D206" s="47">
        <v>1000</v>
      </c>
      <c r="E206" s="47">
        <f t="shared" si="35"/>
        <v>1000</v>
      </c>
      <c r="F206" s="47"/>
      <c r="G206" s="47"/>
      <c r="H206" s="47"/>
    </row>
    <row r="207" spans="2:8" x14ac:dyDescent="0.35">
      <c r="B207" s="86" t="s">
        <v>162</v>
      </c>
      <c r="C207" s="47"/>
      <c r="D207" s="47">
        <v>5000</v>
      </c>
      <c r="E207" s="47">
        <f t="shared" si="35"/>
        <v>5000</v>
      </c>
      <c r="F207" s="47"/>
      <c r="G207" s="47"/>
      <c r="H207" s="47"/>
    </row>
    <row r="208" spans="2:8" x14ac:dyDescent="0.35">
      <c r="B208" s="114" t="s">
        <v>163</v>
      </c>
      <c r="C208" s="96">
        <f t="shared" ref="C208:H208" si="36">SUM(C204:C207)</f>
        <v>3500</v>
      </c>
      <c r="D208" s="96">
        <f t="shared" si="36"/>
        <v>7700</v>
      </c>
      <c r="E208" s="96">
        <f t="shared" si="36"/>
        <v>11200</v>
      </c>
      <c r="F208" s="96">
        <f t="shared" si="36"/>
        <v>0</v>
      </c>
      <c r="G208" s="96">
        <f t="shared" si="36"/>
        <v>0</v>
      </c>
      <c r="H208" s="96">
        <f t="shared" si="36"/>
        <v>0</v>
      </c>
    </row>
    <row r="209" spans="2:8" x14ac:dyDescent="0.35">
      <c r="B209" s="114"/>
      <c r="C209" s="58"/>
      <c r="D209" s="58"/>
      <c r="E209" s="58"/>
      <c r="F209" s="58"/>
      <c r="G209" s="58"/>
      <c r="H209" s="58"/>
    </row>
    <row r="210" spans="2:8" x14ac:dyDescent="0.35">
      <c r="B210" s="94" t="s">
        <v>164</v>
      </c>
      <c r="C210" s="58"/>
      <c r="D210" s="58"/>
      <c r="E210" s="58"/>
      <c r="F210" s="58"/>
      <c r="G210" s="58"/>
      <c r="H210" s="58"/>
    </row>
    <row r="211" spans="2:8" x14ac:dyDescent="0.35">
      <c r="B211" s="115" t="s">
        <v>165</v>
      </c>
      <c r="C211" s="58"/>
      <c r="D211" s="58">
        <v>12663000</v>
      </c>
      <c r="E211" s="47">
        <f t="shared" ref="E211:E219" si="37">+C211+D211</f>
        <v>12663000</v>
      </c>
      <c r="F211" s="58"/>
      <c r="G211" s="58"/>
      <c r="H211" s="58"/>
    </row>
    <row r="212" spans="2:8" x14ac:dyDescent="0.35">
      <c r="B212" s="115" t="s">
        <v>166</v>
      </c>
      <c r="C212" s="58"/>
      <c r="D212" s="47"/>
      <c r="E212" s="47"/>
      <c r="F212" s="58"/>
      <c r="G212" s="58">
        <v>2694000</v>
      </c>
      <c r="H212" s="58">
        <v>981000</v>
      </c>
    </row>
    <row r="213" spans="2:8" x14ac:dyDescent="0.35">
      <c r="B213" s="115" t="s">
        <v>167</v>
      </c>
      <c r="C213" s="58"/>
      <c r="D213" s="47"/>
      <c r="E213" s="47"/>
      <c r="F213" s="58"/>
      <c r="G213" s="58">
        <v>3000</v>
      </c>
      <c r="H213" s="58"/>
    </row>
    <row r="214" spans="2:8" x14ac:dyDescent="0.35">
      <c r="B214" s="115" t="s">
        <v>168</v>
      </c>
      <c r="C214" s="58"/>
      <c r="D214" s="58">
        <v>500</v>
      </c>
      <c r="E214" s="47">
        <f>+C214+D214</f>
        <v>500</v>
      </c>
      <c r="F214" s="58"/>
      <c r="G214" s="58">
        <v>1000</v>
      </c>
      <c r="H214" s="58"/>
    </row>
    <row r="215" spans="2:8" x14ac:dyDescent="0.35">
      <c r="B215" s="115"/>
      <c r="C215" s="58"/>
      <c r="D215" s="58"/>
      <c r="E215" s="47"/>
      <c r="F215" s="58"/>
      <c r="G215" s="58"/>
      <c r="H215" s="58"/>
    </row>
    <row r="216" spans="2:8" ht="29" x14ac:dyDescent="0.35">
      <c r="B216" s="79" t="s">
        <v>169</v>
      </c>
      <c r="C216" s="47">
        <v>1023</v>
      </c>
      <c r="D216" s="47">
        <v>486</v>
      </c>
      <c r="E216" s="77">
        <f t="shared" si="37"/>
        <v>1509</v>
      </c>
      <c r="F216" s="77"/>
      <c r="G216" s="77"/>
      <c r="H216" s="77"/>
    </row>
    <row r="217" spans="2:8" ht="29" x14ac:dyDescent="0.35">
      <c r="B217" s="79" t="s">
        <v>170</v>
      </c>
      <c r="C217" s="47">
        <v>1693</v>
      </c>
      <c r="D217" s="47">
        <v>0</v>
      </c>
      <c r="E217" s="77">
        <f t="shared" si="37"/>
        <v>1693</v>
      </c>
      <c r="F217" s="77"/>
      <c r="G217" s="77"/>
      <c r="H217" s="77"/>
    </row>
    <row r="218" spans="2:8" ht="29" x14ac:dyDescent="0.35">
      <c r="B218" s="79" t="s">
        <v>171</v>
      </c>
      <c r="C218" s="47">
        <v>0</v>
      </c>
      <c r="D218" s="47">
        <v>5200</v>
      </c>
      <c r="E218" s="77">
        <f t="shared" si="37"/>
        <v>5200</v>
      </c>
      <c r="F218" s="77"/>
      <c r="G218" s="77"/>
      <c r="H218" s="77"/>
    </row>
    <row r="219" spans="2:8" ht="29" x14ac:dyDescent="0.35">
      <c r="B219" s="79" t="s">
        <v>172</v>
      </c>
      <c r="C219" s="116">
        <v>963</v>
      </c>
      <c r="D219" s="116">
        <v>0</v>
      </c>
      <c r="E219" s="77">
        <f t="shared" si="37"/>
        <v>963</v>
      </c>
      <c r="F219" s="77">
        <v>0</v>
      </c>
      <c r="G219" s="77"/>
      <c r="H219" s="77"/>
    </row>
    <row r="220" spans="2:8" x14ac:dyDescent="0.35">
      <c r="B220" s="94"/>
      <c r="C220" s="58"/>
      <c r="D220" s="58"/>
      <c r="E220" s="58"/>
      <c r="F220" s="58"/>
      <c r="G220" s="58"/>
      <c r="H220" s="58"/>
    </row>
    <row r="221" spans="2:8" x14ac:dyDescent="0.35">
      <c r="B221" s="86" t="s">
        <v>173</v>
      </c>
      <c r="C221" s="58"/>
      <c r="D221" s="58">
        <v>8000</v>
      </c>
      <c r="E221" s="47">
        <f t="shared" ref="E221:E223" si="38">+C221+D221</f>
        <v>8000</v>
      </c>
      <c r="F221" s="58"/>
      <c r="G221" s="58"/>
      <c r="H221" s="58"/>
    </row>
    <row r="222" spans="2:8" x14ac:dyDescent="0.35">
      <c r="B222" s="115" t="s">
        <v>174</v>
      </c>
      <c r="C222" s="58"/>
      <c r="D222" s="58">
        <v>4440</v>
      </c>
      <c r="E222" s="47">
        <f t="shared" si="38"/>
        <v>4440</v>
      </c>
      <c r="F222" s="58"/>
      <c r="G222" s="58"/>
      <c r="H222" s="58"/>
    </row>
    <row r="223" spans="2:8" x14ac:dyDescent="0.35">
      <c r="B223" s="86" t="s">
        <v>175</v>
      </c>
      <c r="C223" s="58"/>
      <c r="D223" s="117">
        <f>5000-2617</f>
        <v>2383</v>
      </c>
      <c r="E223" s="47">
        <f t="shared" si="38"/>
        <v>2383</v>
      </c>
      <c r="F223" s="58"/>
      <c r="G223" s="58"/>
      <c r="H223" s="58"/>
    </row>
    <row r="224" spans="2:8" x14ac:dyDescent="0.35">
      <c r="B224" s="114" t="s">
        <v>176</v>
      </c>
      <c r="C224" s="118">
        <f t="shared" ref="C224:H224" si="39">SUM(C211:C223)</f>
        <v>3679</v>
      </c>
      <c r="D224" s="118">
        <f t="shared" si="39"/>
        <v>12684009</v>
      </c>
      <c r="E224" s="118">
        <f t="shared" si="39"/>
        <v>12687688</v>
      </c>
      <c r="F224" s="118">
        <f t="shared" si="39"/>
        <v>0</v>
      </c>
      <c r="G224" s="118">
        <f t="shared" si="39"/>
        <v>2698000</v>
      </c>
      <c r="H224" s="118">
        <f t="shared" si="39"/>
        <v>981000</v>
      </c>
    </row>
    <row r="225" spans="2:8" x14ac:dyDescent="0.35">
      <c r="B225" s="86"/>
      <c r="C225" s="58"/>
      <c r="D225" s="58"/>
      <c r="E225" s="47"/>
      <c r="F225" s="58"/>
      <c r="G225" s="58"/>
      <c r="H225" s="58"/>
    </row>
    <row r="226" spans="2:8" x14ac:dyDescent="0.35">
      <c r="B226" s="86"/>
      <c r="C226" s="58"/>
      <c r="D226" s="58"/>
      <c r="E226" s="47"/>
      <c r="F226" s="58"/>
      <c r="G226" s="58"/>
      <c r="H226" s="58"/>
    </row>
    <row r="227" spans="2:8" x14ac:dyDescent="0.35">
      <c r="B227" s="114" t="s">
        <v>177</v>
      </c>
      <c r="C227" s="119">
        <f t="shared" ref="C227:H227" si="40">+C208+C224</f>
        <v>7179</v>
      </c>
      <c r="D227" s="119">
        <f t="shared" si="40"/>
        <v>12691709</v>
      </c>
      <c r="E227" s="119">
        <f t="shared" si="40"/>
        <v>12698888</v>
      </c>
      <c r="F227" s="119">
        <f t="shared" si="40"/>
        <v>0</v>
      </c>
      <c r="G227" s="119">
        <f t="shared" si="40"/>
        <v>2698000</v>
      </c>
      <c r="H227" s="119">
        <f t="shared" si="40"/>
        <v>981000</v>
      </c>
    </row>
    <row r="228" spans="2:8" x14ac:dyDescent="0.35">
      <c r="B228" s="95"/>
      <c r="C228" s="58"/>
      <c r="D228" s="53"/>
      <c r="E228" s="53"/>
      <c r="F228" s="53"/>
      <c r="G228" s="53"/>
      <c r="H228" s="53"/>
    </row>
    <row r="229" spans="2:8" x14ac:dyDescent="0.35">
      <c r="B229" s="94" t="s">
        <v>178</v>
      </c>
      <c r="C229" s="58"/>
      <c r="D229" s="58"/>
      <c r="E229" s="58"/>
      <c r="F229" s="58"/>
      <c r="G229" s="58"/>
      <c r="H229" s="58"/>
    </row>
    <row r="230" spans="2:8" ht="29" x14ac:dyDescent="0.35">
      <c r="B230" s="86" t="s">
        <v>179</v>
      </c>
      <c r="C230" s="47">
        <v>0</v>
      </c>
      <c r="D230" s="47">
        <v>10051</v>
      </c>
      <c r="E230" s="47">
        <f t="shared" ref="E230:E254" si="41">+C230+D230</f>
        <v>10051</v>
      </c>
      <c r="F230" s="47">
        <v>0</v>
      </c>
      <c r="G230" s="47"/>
      <c r="H230" s="47"/>
    </row>
    <row r="231" spans="2:8" ht="29" x14ac:dyDescent="0.35">
      <c r="B231" s="86" t="s">
        <v>180</v>
      </c>
      <c r="C231" s="47">
        <v>0</v>
      </c>
      <c r="D231" s="47">
        <v>40</v>
      </c>
      <c r="E231" s="47">
        <f t="shared" si="41"/>
        <v>40</v>
      </c>
      <c r="F231" s="47">
        <v>49</v>
      </c>
      <c r="G231" s="47"/>
      <c r="H231" s="47"/>
    </row>
    <row r="232" spans="2:8" x14ac:dyDescent="0.35">
      <c r="B232" s="86" t="s">
        <v>181</v>
      </c>
      <c r="C232" s="47">
        <v>0</v>
      </c>
      <c r="D232" s="47">
        <v>203</v>
      </c>
      <c r="E232" s="47">
        <f t="shared" si="41"/>
        <v>203</v>
      </c>
      <c r="F232" s="47">
        <v>152</v>
      </c>
      <c r="G232" s="47"/>
      <c r="H232" s="47"/>
    </row>
    <row r="233" spans="2:8" x14ac:dyDescent="0.35">
      <c r="B233" s="86" t="s">
        <v>182</v>
      </c>
      <c r="C233" s="47">
        <v>122</v>
      </c>
      <c r="D233" s="47">
        <v>0</v>
      </c>
      <c r="E233" s="47">
        <f t="shared" si="41"/>
        <v>122</v>
      </c>
      <c r="F233" s="47">
        <v>0</v>
      </c>
      <c r="G233" s="47"/>
      <c r="H233" s="47"/>
    </row>
    <row r="234" spans="2:8" x14ac:dyDescent="0.35">
      <c r="B234" s="86" t="s">
        <v>183</v>
      </c>
      <c r="C234" s="47">
        <v>0</v>
      </c>
      <c r="D234" s="47">
        <v>0</v>
      </c>
      <c r="E234" s="47">
        <f t="shared" si="41"/>
        <v>0</v>
      </c>
      <c r="F234" s="47">
        <v>5847</v>
      </c>
      <c r="G234" s="47"/>
      <c r="H234" s="47"/>
    </row>
    <row r="235" spans="2:8" ht="29" x14ac:dyDescent="0.35">
      <c r="B235" s="86" t="s">
        <v>184</v>
      </c>
      <c r="C235" s="47">
        <v>0</v>
      </c>
      <c r="D235" s="47">
        <v>0</v>
      </c>
      <c r="E235" s="47">
        <f t="shared" si="41"/>
        <v>0</v>
      </c>
      <c r="F235" s="47">
        <v>8000</v>
      </c>
      <c r="G235" s="47"/>
      <c r="H235" s="47"/>
    </row>
    <row r="236" spans="2:8" x14ac:dyDescent="0.35">
      <c r="B236" s="86"/>
      <c r="C236" s="47"/>
      <c r="D236" s="47"/>
      <c r="E236" s="47"/>
      <c r="F236" s="47"/>
      <c r="G236" s="47"/>
      <c r="H236" s="47"/>
    </row>
    <row r="237" spans="2:8" x14ac:dyDescent="0.35">
      <c r="B237" s="94" t="s">
        <v>185</v>
      </c>
      <c r="C237" s="47"/>
      <c r="D237" s="47"/>
      <c r="E237" s="47"/>
      <c r="F237" s="47"/>
      <c r="G237" s="47"/>
      <c r="H237" s="47"/>
    </row>
    <row r="238" spans="2:8" ht="43.5" x14ac:dyDescent="0.35">
      <c r="B238" s="86" t="s">
        <v>186</v>
      </c>
      <c r="C238" s="47"/>
      <c r="D238" s="47">
        <f>-1177+120</f>
        <v>-1057</v>
      </c>
      <c r="E238" s="47">
        <f t="shared" ref="E238:E241" si="42">+C238+D238</f>
        <v>-1057</v>
      </c>
      <c r="F238" s="47"/>
      <c r="G238" s="47"/>
      <c r="H238" s="47"/>
    </row>
    <row r="239" spans="2:8" ht="29" x14ac:dyDescent="0.35">
      <c r="B239" s="86" t="s">
        <v>187</v>
      </c>
      <c r="C239" s="47"/>
      <c r="D239" s="47">
        <v>-1200</v>
      </c>
      <c r="E239" s="47">
        <f t="shared" si="42"/>
        <v>-1200</v>
      </c>
      <c r="F239" s="47"/>
      <c r="G239" s="47"/>
      <c r="H239" s="47"/>
    </row>
    <row r="240" spans="2:8" ht="29" x14ac:dyDescent="0.35">
      <c r="B240" s="88" t="s">
        <v>188</v>
      </c>
      <c r="C240" s="47"/>
      <c r="D240" s="47">
        <v>-4500</v>
      </c>
      <c r="E240" s="47">
        <f t="shared" si="42"/>
        <v>-4500</v>
      </c>
      <c r="F240" s="47"/>
      <c r="G240" s="47"/>
      <c r="H240" s="47"/>
    </row>
    <row r="241" spans="2:8" x14ac:dyDescent="0.35">
      <c r="B241" s="88" t="s">
        <v>189</v>
      </c>
      <c r="C241" s="47"/>
      <c r="D241" s="47">
        <v>-132</v>
      </c>
      <c r="E241" s="47">
        <f t="shared" si="42"/>
        <v>-132</v>
      </c>
      <c r="F241" s="47"/>
      <c r="G241" s="47"/>
      <c r="H241" s="47"/>
    </row>
    <row r="242" spans="2:8" x14ac:dyDescent="0.35">
      <c r="B242" s="86" t="s">
        <v>190</v>
      </c>
      <c r="C242" s="47"/>
      <c r="D242" s="47">
        <v>-884</v>
      </c>
      <c r="E242" s="47">
        <f t="shared" si="41"/>
        <v>-884</v>
      </c>
      <c r="F242" s="47"/>
      <c r="G242" s="47"/>
      <c r="H242" s="47"/>
    </row>
    <row r="243" spans="2:8" ht="29" x14ac:dyDescent="0.35">
      <c r="B243" s="86" t="s">
        <v>191</v>
      </c>
      <c r="C243" s="47"/>
      <c r="D243" s="47">
        <v>-127</v>
      </c>
      <c r="E243" s="47">
        <f t="shared" si="41"/>
        <v>-127</v>
      </c>
      <c r="F243" s="47"/>
      <c r="G243" s="47"/>
      <c r="H243" s="47"/>
    </row>
    <row r="244" spans="2:8" ht="29" x14ac:dyDescent="0.35">
      <c r="B244" s="86" t="s">
        <v>192</v>
      </c>
      <c r="C244" s="47"/>
      <c r="D244" s="47">
        <v>-326</v>
      </c>
      <c r="E244" s="47">
        <f t="shared" si="41"/>
        <v>-326</v>
      </c>
      <c r="F244" s="47"/>
      <c r="G244" s="47"/>
      <c r="H244" s="47"/>
    </row>
    <row r="245" spans="2:8" ht="29" x14ac:dyDescent="0.35">
      <c r="B245" s="86" t="s">
        <v>193</v>
      </c>
      <c r="C245" s="47"/>
      <c r="D245" s="47">
        <v>-237</v>
      </c>
      <c r="E245" s="47">
        <f t="shared" si="41"/>
        <v>-237</v>
      </c>
      <c r="F245" s="47"/>
      <c r="G245" s="47"/>
      <c r="H245" s="47"/>
    </row>
    <row r="246" spans="2:8" ht="29" x14ac:dyDescent="0.35">
      <c r="B246" s="86" t="s">
        <v>194</v>
      </c>
      <c r="C246" s="47"/>
      <c r="D246" s="47">
        <v>-80</v>
      </c>
      <c r="E246" s="47">
        <f t="shared" si="41"/>
        <v>-80</v>
      </c>
      <c r="F246" s="47"/>
      <c r="G246" s="47"/>
      <c r="H246" s="47"/>
    </row>
    <row r="247" spans="2:8" ht="29" x14ac:dyDescent="0.35">
      <c r="B247" s="86" t="s">
        <v>195</v>
      </c>
      <c r="C247" s="47"/>
      <c r="D247" s="47">
        <v>-2034</v>
      </c>
      <c r="E247" s="47">
        <f t="shared" si="41"/>
        <v>-2034</v>
      </c>
      <c r="F247" s="47"/>
      <c r="G247" s="47"/>
      <c r="H247" s="47"/>
    </row>
    <row r="248" spans="2:8" x14ac:dyDescent="0.35">
      <c r="B248" s="86" t="s">
        <v>196</v>
      </c>
      <c r="C248" s="47"/>
      <c r="D248" s="47">
        <v>-1342</v>
      </c>
      <c r="E248" s="47">
        <f t="shared" si="41"/>
        <v>-1342</v>
      </c>
      <c r="F248" s="47"/>
      <c r="G248" s="47"/>
      <c r="H248" s="47"/>
    </row>
    <row r="249" spans="2:8" ht="29" x14ac:dyDescent="0.35">
      <c r="B249" s="86" t="s">
        <v>197</v>
      </c>
      <c r="C249" s="47"/>
      <c r="D249" s="47">
        <v>-244</v>
      </c>
      <c r="E249" s="47">
        <f t="shared" si="41"/>
        <v>-244</v>
      </c>
      <c r="F249" s="47"/>
      <c r="G249" s="47"/>
      <c r="H249" s="47"/>
    </row>
    <row r="250" spans="2:8" x14ac:dyDescent="0.35">
      <c r="B250" s="86" t="s">
        <v>198</v>
      </c>
      <c r="C250" s="47"/>
      <c r="D250" s="47">
        <v>-1000</v>
      </c>
      <c r="E250" s="47">
        <f t="shared" si="41"/>
        <v>-1000</v>
      </c>
      <c r="F250" s="47"/>
      <c r="G250" s="47"/>
      <c r="H250" s="47"/>
    </row>
    <row r="251" spans="2:8" ht="43.5" x14ac:dyDescent="0.35">
      <c r="B251" s="86" t="s">
        <v>199</v>
      </c>
      <c r="C251" s="47"/>
      <c r="D251" s="47">
        <v>-32</v>
      </c>
      <c r="E251" s="47">
        <f t="shared" si="41"/>
        <v>-32</v>
      </c>
      <c r="F251" s="47"/>
      <c r="G251" s="47"/>
      <c r="H251" s="47"/>
    </row>
    <row r="252" spans="2:8" x14ac:dyDescent="0.35">
      <c r="B252" s="86" t="s">
        <v>200</v>
      </c>
      <c r="C252" s="47"/>
      <c r="D252" s="47">
        <v>-89</v>
      </c>
      <c r="E252" s="47">
        <f t="shared" si="41"/>
        <v>-89</v>
      </c>
      <c r="F252" s="47"/>
      <c r="G252" s="47"/>
      <c r="H252" s="47"/>
    </row>
    <row r="253" spans="2:8" ht="29" x14ac:dyDescent="0.35">
      <c r="B253" s="86" t="s">
        <v>201</v>
      </c>
      <c r="C253" s="47"/>
      <c r="D253" s="47">
        <v>0</v>
      </c>
      <c r="E253" s="47">
        <f t="shared" si="41"/>
        <v>0</v>
      </c>
      <c r="F253" s="47">
        <v>-70</v>
      </c>
      <c r="G253" s="47"/>
      <c r="H253" s="47"/>
    </row>
    <row r="254" spans="2:8" ht="29" x14ac:dyDescent="0.35">
      <c r="B254" s="86" t="s">
        <v>202</v>
      </c>
      <c r="C254" s="47">
        <v>-105</v>
      </c>
      <c r="D254" s="47">
        <v>0</v>
      </c>
      <c r="E254" s="47">
        <f t="shared" si="41"/>
        <v>-105</v>
      </c>
      <c r="F254" s="47"/>
      <c r="G254" s="47"/>
      <c r="H254" s="47"/>
    </row>
    <row r="255" spans="2:8" x14ac:dyDescent="0.35">
      <c r="B255" s="114" t="s">
        <v>203</v>
      </c>
      <c r="C255" s="91">
        <f t="shared" ref="C255:H255" si="43">SUM(C230:C254)</f>
        <v>17</v>
      </c>
      <c r="D255" s="91">
        <f t="shared" si="43"/>
        <v>-2990</v>
      </c>
      <c r="E255" s="91">
        <f t="shared" si="43"/>
        <v>-2973</v>
      </c>
      <c r="F255" s="91">
        <f t="shared" si="43"/>
        <v>13978</v>
      </c>
      <c r="G255" s="91">
        <f t="shared" si="43"/>
        <v>0</v>
      </c>
      <c r="H255" s="91">
        <f t="shared" si="43"/>
        <v>0</v>
      </c>
    </row>
    <row r="256" spans="2:8" x14ac:dyDescent="0.35">
      <c r="B256" s="88"/>
      <c r="C256" s="47"/>
      <c r="D256" s="47"/>
      <c r="E256" s="47"/>
      <c r="F256" s="47"/>
      <c r="G256" s="47"/>
      <c r="H256" s="47"/>
    </row>
    <row r="257" spans="2:8" x14ac:dyDescent="0.35">
      <c r="B257" s="100" t="s">
        <v>119</v>
      </c>
      <c r="C257" s="47"/>
      <c r="D257" s="47"/>
      <c r="E257" s="47"/>
      <c r="F257" s="47"/>
      <c r="G257" s="47"/>
      <c r="H257" s="47"/>
    </row>
    <row r="258" spans="2:8" ht="29" x14ac:dyDescent="0.35">
      <c r="B258" s="86" t="s">
        <v>204</v>
      </c>
      <c r="C258" s="47">
        <v>34795</v>
      </c>
      <c r="D258" s="47">
        <v>0</v>
      </c>
      <c r="E258" s="77">
        <f t="shared" ref="E258:E267" si="44">+C258+D258</f>
        <v>34795</v>
      </c>
      <c r="F258" s="47">
        <v>-34795</v>
      </c>
      <c r="G258" s="77"/>
      <c r="H258" s="77"/>
    </row>
    <row r="259" spans="2:8" ht="29" x14ac:dyDescent="0.35">
      <c r="B259" s="86" t="s">
        <v>205</v>
      </c>
      <c r="C259" s="47">
        <v>-6000</v>
      </c>
      <c r="D259" s="47">
        <v>6000</v>
      </c>
      <c r="E259" s="77">
        <f t="shared" si="44"/>
        <v>0</v>
      </c>
      <c r="F259" s="77"/>
      <c r="G259" s="77"/>
      <c r="H259" s="77"/>
    </row>
    <row r="260" spans="2:8" ht="29" x14ac:dyDescent="0.35">
      <c r="B260" s="86" t="s">
        <v>206</v>
      </c>
      <c r="C260" s="47">
        <v>0</v>
      </c>
      <c r="D260" s="47">
        <v>700</v>
      </c>
      <c r="E260" s="77">
        <f t="shared" si="44"/>
        <v>700</v>
      </c>
      <c r="F260" s="77">
        <v>-700</v>
      </c>
      <c r="G260" s="77"/>
      <c r="H260" s="77"/>
    </row>
    <row r="261" spans="2:8" ht="29" x14ac:dyDescent="0.35">
      <c r="B261" s="86" t="s">
        <v>207</v>
      </c>
      <c r="C261" s="47"/>
      <c r="D261" s="47">
        <f>40000</f>
        <v>40000</v>
      </c>
      <c r="E261" s="77">
        <f t="shared" si="44"/>
        <v>40000</v>
      </c>
      <c r="F261" s="77">
        <f>-40000</f>
        <v>-40000</v>
      </c>
      <c r="G261" s="77"/>
      <c r="H261" s="77"/>
    </row>
    <row r="262" spans="2:8" ht="29" x14ac:dyDescent="0.35">
      <c r="B262" s="120" t="s">
        <v>208</v>
      </c>
      <c r="C262" s="47"/>
      <c r="D262" s="47">
        <v>-23000</v>
      </c>
      <c r="E262" s="77">
        <f t="shared" si="44"/>
        <v>-23000</v>
      </c>
      <c r="F262" s="77">
        <v>-119</v>
      </c>
      <c r="G262" s="77"/>
      <c r="H262" s="77"/>
    </row>
    <row r="263" spans="2:8" x14ac:dyDescent="0.35">
      <c r="B263" s="120"/>
      <c r="C263" s="47"/>
      <c r="D263" s="47"/>
      <c r="E263" s="77"/>
      <c r="F263" s="77"/>
      <c r="G263" s="77"/>
      <c r="H263" s="77"/>
    </row>
    <row r="264" spans="2:8" x14ac:dyDescent="0.35">
      <c r="B264" s="86" t="s">
        <v>209</v>
      </c>
      <c r="C264" s="47">
        <v>0</v>
      </c>
      <c r="D264" s="47">
        <v>-330000</v>
      </c>
      <c r="E264" s="77">
        <f t="shared" si="44"/>
        <v>-330000</v>
      </c>
      <c r="F264" s="77"/>
      <c r="G264" s="77"/>
      <c r="H264" s="77"/>
    </row>
    <row r="265" spans="2:8" x14ac:dyDescent="0.35">
      <c r="B265" s="86"/>
      <c r="C265" s="47"/>
      <c r="D265" s="47"/>
      <c r="E265" s="77"/>
      <c r="F265" s="77"/>
      <c r="G265" s="77"/>
      <c r="H265" s="77"/>
    </row>
    <row r="266" spans="2:8" ht="29" x14ac:dyDescent="0.35">
      <c r="B266" s="79" t="s">
        <v>210</v>
      </c>
      <c r="C266" s="47"/>
      <c r="D266" s="47"/>
      <c r="E266" s="77">
        <f t="shared" si="44"/>
        <v>0</v>
      </c>
      <c r="F266" s="77"/>
      <c r="G266" s="77"/>
      <c r="H266" s="77"/>
    </row>
    <row r="267" spans="2:8" ht="29" x14ac:dyDescent="0.35">
      <c r="B267" s="79" t="s">
        <v>211</v>
      </c>
      <c r="C267" s="47"/>
      <c r="D267" s="47"/>
      <c r="E267" s="77">
        <f t="shared" si="44"/>
        <v>0</v>
      </c>
      <c r="F267" s="77"/>
      <c r="G267" s="77"/>
      <c r="H267" s="77"/>
    </row>
    <row r="268" spans="2:8" x14ac:dyDescent="0.35">
      <c r="B268" s="86"/>
      <c r="C268" s="47"/>
      <c r="D268" s="47"/>
      <c r="E268" s="77"/>
      <c r="F268" s="77"/>
      <c r="G268" s="77"/>
      <c r="H268" s="77"/>
    </row>
    <row r="269" spans="2:8" x14ac:dyDescent="0.35">
      <c r="B269" s="114" t="s">
        <v>212</v>
      </c>
      <c r="C269" s="96">
        <f t="shared" ref="C269:H269" si="45">SUM(C257:C267)</f>
        <v>28795</v>
      </c>
      <c r="D269" s="96">
        <f t="shared" si="45"/>
        <v>-306300</v>
      </c>
      <c r="E269" s="96">
        <f t="shared" si="45"/>
        <v>-277505</v>
      </c>
      <c r="F269" s="96">
        <f t="shared" si="45"/>
        <v>-75614</v>
      </c>
      <c r="G269" s="96">
        <f t="shared" si="45"/>
        <v>0</v>
      </c>
      <c r="H269" s="96">
        <f t="shared" si="45"/>
        <v>0</v>
      </c>
    </row>
    <row r="270" spans="2:8" x14ac:dyDescent="0.35">
      <c r="B270" s="86"/>
      <c r="C270" s="47"/>
      <c r="D270" s="47"/>
      <c r="E270" s="47"/>
      <c r="F270" s="47"/>
      <c r="G270" s="47"/>
      <c r="H270" s="47"/>
    </row>
    <row r="271" spans="2:8" ht="29" x14ac:dyDescent="0.35">
      <c r="B271" s="121" t="s">
        <v>213</v>
      </c>
      <c r="C271" s="63">
        <f t="shared" ref="C271:H271" si="46">+C227+C255+C269</f>
        <v>35991</v>
      </c>
      <c r="D271" s="63">
        <f t="shared" si="46"/>
        <v>12382419</v>
      </c>
      <c r="E271" s="63">
        <f t="shared" si="46"/>
        <v>12418410</v>
      </c>
      <c r="F271" s="63">
        <f t="shared" si="46"/>
        <v>-61636</v>
      </c>
      <c r="G271" s="63">
        <f t="shared" si="46"/>
        <v>2698000</v>
      </c>
      <c r="H271" s="63">
        <f t="shared" si="46"/>
        <v>981000</v>
      </c>
    </row>
    <row r="272" spans="2:8" x14ac:dyDescent="0.35">
      <c r="B272" s="97" t="s">
        <v>72</v>
      </c>
      <c r="C272" s="55"/>
      <c r="D272" s="55"/>
      <c r="E272" s="55"/>
      <c r="F272" s="55"/>
      <c r="G272" s="55"/>
      <c r="H272" s="55"/>
    </row>
    <row r="273" spans="2:8" x14ac:dyDescent="0.35">
      <c r="B273" s="98" t="s">
        <v>73</v>
      </c>
      <c r="C273" s="58">
        <f>C204+C216+C217+C219+C255+C258+C259</f>
        <v>35991</v>
      </c>
      <c r="D273" s="58">
        <f>D208+D216+D218+D221+D222+D223+D255+D258+D259+D260+D261+D262+D264</f>
        <v>-281081</v>
      </c>
      <c r="E273" s="58">
        <f>E208+E216+E217+E218+E219+E221+E222+E223+E255+E258+E259+E260+E261+E262+E264</f>
        <v>-245090</v>
      </c>
      <c r="F273" s="58">
        <f>+F255+F269</f>
        <v>-61636</v>
      </c>
      <c r="G273" s="58">
        <f>+G227+G255+G267</f>
        <v>2698000</v>
      </c>
      <c r="H273" s="58">
        <f>+H227+H255+H267</f>
        <v>981000</v>
      </c>
    </row>
    <row r="274" spans="2:8" x14ac:dyDescent="0.35">
      <c r="B274" s="98" t="s">
        <v>74</v>
      </c>
      <c r="C274" s="47"/>
      <c r="D274" s="47">
        <f>D211+D214</f>
        <v>12663500</v>
      </c>
      <c r="E274" s="47">
        <f>E211+E214</f>
        <v>12663500</v>
      </c>
      <c r="F274" s="47">
        <f>F211+F214</f>
        <v>0</v>
      </c>
      <c r="G274" s="47"/>
      <c r="H274" s="47"/>
    </row>
    <row r="275" spans="2:8" x14ac:dyDescent="0.35">
      <c r="B275" s="86"/>
      <c r="C275" s="47"/>
      <c r="D275" s="47"/>
      <c r="E275" s="47"/>
      <c r="F275" s="47"/>
      <c r="G275" s="47"/>
      <c r="H275" s="47"/>
    </row>
    <row r="276" spans="2:8" ht="29" x14ac:dyDescent="0.35">
      <c r="B276" s="122" t="s">
        <v>214</v>
      </c>
      <c r="C276" s="123">
        <f t="shared" ref="C276:H276" si="47">SUM(C182+C271)</f>
        <v>509198</v>
      </c>
      <c r="D276" s="123">
        <f t="shared" si="47"/>
        <v>80431854</v>
      </c>
      <c r="E276" s="123">
        <f t="shared" si="47"/>
        <v>80941052</v>
      </c>
      <c r="F276" s="123">
        <f t="shared" si="47"/>
        <v>4912324</v>
      </c>
      <c r="G276" s="123">
        <f t="shared" si="47"/>
        <v>-889040</v>
      </c>
      <c r="H276" s="123">
        <f t="shared" si="47"/>
        <v>22538530</v>
      </c>
    </row>
    <row r="277" spans="2:8" x14ac:dyDescent="0.35">
      <c r="B277" s="98"/>
      <c r="C277" s="47"/>
      <c r="D277" s="47"/>
      <c r="E277" s="47"/>
      <c r="F277" s="47"/>
      <c r="G277" s="47"/>
      <c r="H277" s="47"/>
    </row>
    <row r="278" spans="2:8" x14ac:dyDescent="0.35">
      <c r="B278" s="44" t="s">
        <v>72</v>
      </c>
      <c r="C278" s="47"/>
      <c r="D278" s="47"/>
      <c r="E278" s="47"/>
      <c r="F278" s="47"/>
      <c r="G278" s="47"/>
      <c r="H278" s="47"/>
    </row>
    <row r="279" spans="2:8" x14ac:dyDescent="0.35">
      <c r="B279" s="61" t="s">
        <v>73</v>
      </c>
      <c r="C279" s="47">
        <f t="shared" ref="C279:H280" si="48">SUM(C184+C273)</f>
        <v>463154</v>
      </c>
      <c r="D279" s="47">
        <f t="shared" si="48"/>
        <v>63526332</v>
      </c>
      <c r="E279" s="47">
        <f t="shared" si="48"/>
        <v>63989486</v>
      </c>
      <c r="F279" s="47">
        <f t="shared" si="48"/>
        <v>4912324</v>
      </c>
      <c r="G279" s="47">
        <f t="shared" si="48"/>
        <v>-889040</v>
      </c>
      <c r="H279" s="47">
        <f t="shared" si="48"/>
        <v>22538530</v>
      </c>
    </row>
    <row r="280" spans="2:8" x14ac:dyDescent="0.35">
      <c r="B280" s="61" t="s">
        <v>74</v>
      </c>
      <c r="C280" s="47">
        <f t="shared" si="48"/>
        <v>46044</v>
      </c>
      <c r="D280" s="47">
        <f t="shared" si="48"/>
        <v>16905522</v>
      </c>
      <c r="E280" s="47">
        <f t="shared" si="48"/>
        <v>16951566</v>
      </c>
      <c r="F280" s="47">
        <f t="shared" si="48"/>
        <v>0</v>
      </c>
      <c r="G280" s="47">
        <f t="shared" si="48"/>
        <v>0</v>
      </c>
      <c r="H280" s="47">
        <f t="shared" si="48"/>
        <v>0</v>
      </c>
    </row>
    <row r="281" spans="2:8" x14ac:dyDescent="0.35">
      <c r="B281" s="124" t="s">
        <v>212</v>
      </c>
      <c r="C281" s="47"/>
      <c r="D281" s="47"/>
      <c r="E281" s="47"/>
      <c r="F281" s="47"/>
      <c r="G281" s="47"/>
      <c r="H281" s="47"/>
    </row>
    <row r="282" spans="2:8" x14ac:dyDescent="0.35">
      <c r="C282" s="47"/>
      <c r="D282" s="47"/>
      <c r="E282" s="47"/>
      <c r="F282" s="47"/>
      <c r="G282" s="47"/>
      <c r="H282" s="47"/>
    </row>
    <row r="283" spans="2:8" x14ac:dyDescent="0.35">
      <c r="B283" s="125" t="s">
        <v>215</v>
      </c>
      <c r="C283" s="93">
        <f>SUM(C276-C279-C280)</f>
        <v>0</v>
      </c>
      <c r="D283" s="93">
        <f t="shared" ref="D283:H283" si="49">SUM(D276-D279-D280)</f>
        <v>0</v>
      </c>
      <c r="E283" s="93">
        <f>SUM(E276-E279-E280)</f>
        <v>0</v>
      </c>
      <c r="F283" s="93">
        <f t="shared" si="49"/>
        <v>0</v>
      </c>
      <c r="G283" s="93">
        <f t="shared" si="49"/>
        <v>0</v>
      </c>
      <c r="H283" s="93">
        <f t="shared" si="49"/>
        <v>0</v>
      </c>
    </row>
  </sheetData>
  <mergeCells count="1">
    <mergeCell ref="C3:H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d0fc526a5c840319a97fd94028e9904 xmlns="4600776d-0a3c-44b4-bff2-0ceaafb13046">
      <Terms xmlns="http://schemas.microsoft.com/office/infopath/2007/PartnerControls"/>
    </cd0fc526a5c840319a97fd94028e9904>
    <n78ca1497cf6442fb3babdda785c85ae xmlns="be575b1b-3fe4-4ddf-ad3d-9e162439ca43">
      <Terms xmlns="http://schemas.microsoft.com/office/infopath/2007/PartnerControls"/>
    </n78ca1497cf6442fb3babdda785c85ae>
    <j3dc9349b3384741bd6025ba1321f3a9 xmlns="be575b1b-3fe4-4ddf-ad3d-9e162439ca43">
      <Terms xmlns="http://schemas.microsoft.com/office/infopath/2007/PartnerControls"/>
    </j3dc9349b3384741bd6025ba1321f3a9>
    <g3ef09377e3444258679b6035a1ff93a xmlns="4600776d-0a3c-44b4-bff2-0ceaafb13046">
      <Terms xmlns="http://schemas.microsoft.com/office/infopath/2007/PartnerControls"/>
    </g3ef09377e3444258679b6035a1ff93a>
    <TransfertoArchives xmlns="4600776d-0a3c-44b4-bff2-0ceaafb13046">false</TransfertoArchives>
    <_dlc_DocId xmlns="6ab18433-7710-49bd-9bb4-0bb85747556a">CKXV4URCTHT2-1772171389-12227</_dlc_DocId>
    <j6c5b17cd04246da82e5604daf08bc68 xmlns="4600776d-0a3c-44b4-bff2-0ceaafb13046">
      <Terms xmlns="http://schemas.microsoft.com/office/infopath/2007/PartnerControls"/>
    </j6c5b17cd04246da82e5604daf08bc68>
    <e6f926d7f5b14a74bee86c3452d91372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2019-20</TermName>
          <TermId xmlns="http://schemas.microsoft.com/office/infopath/2007/PartnerControls">66e74676-00e6-4c37-adc4-b954b89ccd7c</TermId>
        </TermInfo>
      </Terms>
    </e6f926d7f5b14a74bee86c3452d91372>
    <g2d8248192724a17975a7892e991e827 xmlns="be575b1b-3fe4-4ddf-ad3d-9e162439ca43">
      <Terms xmlns="http://schemas.microsoft.com/office/infopath/2007/PartnerControls"/>
    </g2d8248192724a17975a7892e991e827>
    <_dlc_DocIdUrl xmlns="6ab18433-7710-49bd-9bb4-0bb85747556a">
      <Url>https://hopuk.sharepoint.com/sites/hcc-Education/_layouts/15/DocIdRedir.aspx?ID=CKXV4URCTHT2-1772171389-12227</Url>
      <Description>CKXV4URCTHT2-1772171389-12227</Description>
    </_dlc_DocIdUrl>
    <c4838c65c76546ae93d5703426802f7f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Scrutiny</TermName>
          <TermId xmlns="http://schemas.microsoft.com/office/infopath/2007/PartnerControls">c40e1206-65f3-4fdf-a232-d54039a38d0a</TermId>
        </TermInfo>
      </Terms>
    </c4838c65c76546ae93d5703426802f7f>
    <DateSent xmlns="4600776d-0a3c-44b4-bff2-0ceaafb13046" xsi:nil="true"/>
    <RecordNumber xmlns="4600776d-0a3c-44b4-bff2-0ceaafb13046" xsi:nil="true"/>
    <Witness xmlns="c86d72e2-090a-4e7d-987e-218d8a0db591" xsi:nil="true"/>
    <Deadline xmlns="be575b1b-3fe4-4ddf-ad3d-9e162439ca43" xsi:nil="true"/>
    <Status_x0020_of_x0020_correspondence xmlns="be575b1b-3fe4-4ddf-ad3d-9e162439ca43" xsi:nil="true"/>
    <Useful_x0020_Docs xmlns="be575b1b-3fe4-4ddf-ad3d-9e162439ca43"/>
    <Date xmlns="be575b1b-3fe4-4ddf-ad3d-9e162439ca43" xsi:nil="true"/>
    <Document_x0020_Status xmlns="be575b1b-3fe4-4ddf-ad3d-9e162439ca43" xsi:nil="true"/>
    <Meeting_x0020_Date xmlns="be575b1b-3fe4-4ddf-ad3d-9e162439ca43" xsi:nil="true"/>
    <Allocated_x0020_to xmlns="be575b1b-3fe4-4ddf-ad3d-9e162439ca43">
      <UserInfo>
        <DisplayName/>
        <AccountId xsi:nil="true"/>
        <AccountType/>
      </UserInfo>
    </Allocated_x0020_to>
    <Related_x0020_Document xmlns="be575b1b-3fe4-4ddf-ad3d-9e162439ca43">
      <Url xsi:nil="true"/>
      <Description xsi:nil="true"/>
    </Related_x0020_Document>
    <EndofSessionDate xmlns="4600776d-0a3c-44b4-bff2-0ceaafb13046" xsi:nil="true"/>
    <DateReceived xmlns="4600776d-0a3c-44b4-bff2-0ceaafb13046" xsi:nil="true"/>
    <Department xmlns="be575b1b-3fe4-4ddf-ad3d-9e162439ca43" xsi:nil="true"/>
    <Visit xmlns="c86d72e2-090a-4e7d-987e-218d8a0db591" xsi:nil="true"/>
    <Publication_x0020_Date xmlns="be575b1b-3fe4-4ddf-ad3d-9e162439ca43" xsi:nil="true"/>
    <Specialist_x0020_Adviser xmlns="c86d72e2-090a-4e7d-987e-218d8a0db591" xsi:nil="true"/>
    <Notes0 xmlns="be575b1b-3fe4-4ddf-ad3d-9e162439ca43" xsi:nil="true"/>
    <Circulation_x0020_Date xmlns="be575b1b-3fe4-4ddf-ad3d-9e162439ca43" xsi:nil="true"/>
    <Brief_x0020_status xmlns="be575b1b-3fe4-4ddf-ad3d-9e162439ca43" xsi:nil="true"/>
    <Additional_x0020_category xmlns="be575b1b-3fe4-4ddf-ad3d-9e162439ca4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FBCF79C224A4FBE54203FCA75B906" ma:contentTypeVersion="62" ma:contentTypeDescription="Create a new document." ma:contentTypeScope="" ma:versionID="a225438f7b4853f11603e89b4a0aa142">
  <xsd:schema xmlns:xsd="http://www.w3.org/2001/XMLSchema" xmlns:xs="http://www.w3.org/2001/XMLSchema" xmlns:p="http://schemas.microsoft.com/office/2006/metadata/properties" xmlns:ns2="be575b1b-3fe4-4ddf-ad3d-9e162439ca43" xmlns:ns3="4600776d-0a3c-44b4-bff2-0ceaafb13046" xmlns:ns4="c86d72e2-090a-4e7d-987e-218d8a0db591" xmlns:ns5="6ab18433-7710-49bd-9bb4-0bb85747556a" targetNamespace="http://schemas.microsoft.com/office/2006/metadata/properties" ma:root="true" ma:fieldsID="15ae45319deb13c9bbc185ccc68071bd" ns2:_="" ns3:_="" ns4:_="" ns5:_="">
    <xsd:import namespace="be575b1b-3fe4-4ddf-ad3d-9e162439ca43"/>
    <xsd:import namespace="4600776d-0a3c-44b4-bff2-0ceaafb13046"/>
    <xsd:import namespace="c86d72e2-090a-4e7d-987e-218d8a0db591"/>
    <xsd:import namespace="6ab18433-7710-49bd-9bb4-0bb85747556a"/>
    <xsd:element name="properties">
      <xsd:complexType>
        <xsd:sequence>
          <xsd:element name="documentManagement">
            <xsd:complexType>
              <xsd:all>
                <xsd:element ref="ns2:Additional_x0020_category" minOccurs="0"/>
                <xsd:element ref="ns2:Circulation_x0020_Date" minOccurs="0"/>
                <xsd:element ref="ns2:Meeting_x0020_Date" minOccurs="0"/>
                <xsd:element ref="ns2:Status_x0020_of_x0020_correspondence" minOccurs="0"/>
                <xsd:element ref="ns3:DateReceived" minOccurs="0"/>
                <xsd:element ref="ns3:DateSent" minOccurs="0"/>
                <xsd:element ref="ns4:Visit" minOccurs="0"/>
                <xsd:element ref="ns2:Document_x0020_Status" minOccurs="0"/>
                <xsd:element ref="ns2:Brief_x0020_status" minOccurs="0"/>
                <xsd:element ref="ns2:Publication_x0020_Date" minOccurs="0"/>
                <xsd:element ref="ns2:Allocated_x0020_to" minOccurs="0"/>
                <xsd:element ref="ns4:Specialist_x0020_Adviser" minOccurs="0"/>
                <xsd:element ref="ns4:Witness" minOccurs="0"/>
                <xsd:element ref="ns2:Notes0" minOccurs="0"/>
                <xsd:element ref="ns2:Useful_x0020_Docs" minOccurs="0"/>
                <xsd:element ref="ns2:Deadline" minOccurs="0"/>
                <xsd:element ref="ns2:Date" minOccurs="0"/>
                <xsd:element ref="ns2:Related_x0020_Document" minOccurs="0"/>
                <xsd:element ref="ns2:Department" minOccurs="0"/>
                <xsd:element ref="ns3:EndofSessionDate" minOccurs="0"/>
                <xsd:element ref="ns3:TransfertoArchives" minOccurs="0"/>
                <xsd:element ref="ns3:RecordNumber" minOccurs="0"/>
                <xsd:element ref="ns3:c4838c65c76546ae93d5703426802f7f" minOccurs="0"/>
                <xsd:element ref="ns5:_dlc_DocIdPersistId" minOccurs="0"/>
                <xsd:element ref="ns4:Specialist_x0020_Adviser_x003a_First_x0020_Name" minOccurs="0"/>
                <xsd:element ref="ns4:Specialist_x0020_Adviser_x003a_Full_x0020_Name" minOccurs="0"/>
                <xsd:element ref="ns3:e6f926d7f5b14a74bee86c3452d91372" minOccurs="0"/>
                <xsd:element ref="ns2:n78ca1497cf6442fb3babdda785c85ae" minOccurs="0"/>
                <xsd:element ref="ns5:_dlc_DocId" minOccurs="0"/>
                <xsd:element ref="ns2:j3dc9349b3384741bd6025ba1321f3a9" minOccurs="0"/>
                <xsd:element ref="ns2:g2d8248192724a17975a7892e991e827" minOccurs="0"/>
                <xsd:element ref="ns3:cd0fc526a5c840319a97fd94028e9904" minOccurs="0"/>
                <xsd:element ref="ns3:g3ef09377e3444258679b6035a1ff93a" minOccurs="0"/>
                <xsd:element ref="ns5:_dlc_DocIdUrl" minOccurs="0"/>
                <xsd:element ref="ns4:Visit_x003a_Start_x0020_Time" minOccurs="0"/>
                <xsd:element ref="ns4:Visit_x003a_End_x0020_Time" minOccurs="0"/>
                <xsd:element ref="ns4:Witness_x003a_First_x0020_Name" minOccurs="0"/>
                <xsd:element ref="ns4:Witness_x003a_Full_x0020_Name" minOccurs="0"/>
                <xsd:element ref="ns4:Witness_x003a_Job_x0020_Title" minOccurs="0"/>
                <xsd:element ref="ns2:MediaServiceMetadata" minOccurs="0"/>
                <xsd:element ref="ns2:MediaServiceFastMetadata" minOccurs="0"/>
                <xsd:element ref="ns5:SharedWithUsers" minOccurs="0"/>
                <xsd:element ref="ns5:SharedWithDetails" minOccurs="0"/>
                <xsd:element ref="ns3:j6c5b17cd04246da82e5604daf08bc68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75b1b-3fe4-4ddf-ad3d-9e162439ca43" elementFormDefault="qualified">
    <xsd:import namespace="http://schemas.microsoft.com/office/2006/documentManagement/types"/>
    <xsd:import namespace="http://schemas.microsoft.com/office/infopath/2007/PartnerControls"/>
    <xsd:element name="Additional_x0020_category" ma:index="3" nillable="true" ma:displayName="Additional category" ma:internalName="Additional_x0020_category">
      <xsd:simpleType>
        <xsd:restriction base="dms:Text">
          <xsd:maxLength value="255"/>
        </xsd:restriction>
      </xsd:simpleType>
    </xsd:element>
    <xsd:element name="Circulation_x0020_Date" ma:index="6" nillable="true" ma:displayName="Circulation Date" ma:format="DateOnly" ma:internalName="Circulation_x0020_Date">
      <xsd:simpleType>
        <xsd:restriction base="dms:DateTime"/>
      </xsd:simpleType>
    </xsd:element>
    <xsd:element name="Meeting_x0020_Date" ma:index="7" nillable="true" ma:displayName="Meeting Date" ma:format="DateOnly" ma:indexed="true" ma:internalName="Meeting_x0020_Date">
      <xsd:simpleType>
        <xsd:restriction base="dms:DateTime"/>
      </xsd:simpleType>
    </xsd:element>
    <xsd:element name="Status_x0020_of_x0020_correspondence" ma:index="8" nillable="true" ma:displayName="Correspondence Status" ma:format="Dropdown" ma:internalName="Status_x0020_of_x0020_correspondence">
      <xsd:simpleType>
        <xsd:union memberTypes="dms:Text">
          <xsd:simpleType>
            <xsd:restriction base="dms:Choice">
              <xsd:enumeration value="Received - no action needed"/>
              <xsd:enumeration value="Received - allocated for action"/>
              <xsd:enumeration value="Drafting response"/>
              <xsd:enumeration value="Draft response with Chair"/>
              <xsd:enumeration value="NAO drafting response"/>
              <xsd:enumeration value="NAO draft response with Chair"/>
              <xsd:enumeration value="Holding response sent"/>
              <xsd:enumeration value="Answered by Committee Staff"/>
              <xsd:enumeration value="Chair's response sent"/>
            </xsd:restriction>
          </xsd:simpleType>
        </xsd:union>
      </xsd:simpleType>
    </xsd:element>
    <xsd:element name="Document_x0020_Status" ma:index="12" nillable="true" ma:displayName="Document Status" ma:format="Dropdown" ma:internalName="Document_x0020_Status">
      <xsd:simpleType>
        <xsd:restriction base="dms:Choice">
          <xsd:enumeration value="In Draft"/>
          <xsd:enumeration value="With Principal Clerk"/>
          <xsd:enumeration value="With Chair"/>
          <xsd:enumeration value="With Committee"/>
          <xsd:enumeration value="Agreed and to be Published"/>
          <xsd:enumeration value="Published"/>
        </xsd:restriction>
      </xsd:simpleType>
    </xsd:element>
    <xsd:element name="Brief_x0020_status" ma:index="13" nillable="true" ma:displayName="Brief status" ma:format="Dropdown" ma:internalName="Brief_x0020_status">
      <xsd:simpleType>
        <xsd:restriction base="dms:Choice">
          <xsd:enumeration value="in draft"/>
          <xsd:enumeration value="with Committee Clerk"/>
          <xsd:enumeration value="ready to be circulated"/>
          <xsd:enumeration value="circulated"/>
        </xsd:restriction>
      </xsd:simpleType>
    </xsd:element>
    <xsd:element name="Publication_x0020_Date" ma:index="14" nillable="true" ma:displayName="Publication Date" ma:format="DateOnly" ma:internalName="Publication_x0020_Date">
      <xsd:simpleType>
        <xsd:restriction base="dms:DateTime"/>
      </xsd:simpleType>
    </xsd:element>
    <xsd:element name="Allocated_x0020_to" ma:index="15" nillable="true" ma:displayName="Allocated to" ma:indexed="true" ma:SharePointGroup="0" ma:internalName="Allocated_x0020_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19" nillable="true" ma:displayName="Notes" ma:internalName="Notes0">
      <xsd:simpleType>
        <xsd:restriction base="dms:Note">
          <xsd:maxLength value="255"/>
        </xsd:restriction>
      </xsd:simpleType>
    </xsd:element>
    <xsd:element name="Useful_x0020_Docs" ma:index="20" nillable="true" ma:displayName="Useful Docs" ma:internalName="Useful_x0020_Doc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irculation page"/>
                  </xsd:restriction>
                </xsd:simpleType>
              </xsd:element>
            </xsd:sequence>
          </xsd:extension>
        </xsd:complexContent>
      </xsd:complexType>
    </xsd:element>
    <xsd:element name="Deadline" ma:index="21" nillable="true" ma:displayName="Deadline" ma:format="DateOnly" ma:internalName="Deadline">
      <xsd:simpleType>
        <xsd:restriction base="dms:DateTime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Related_x0020_Document" ma:index="23" nillable="true" ma:displayName="Related Document" ma:format="Hyperlink" ma:internalName="Related_x0020_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epartment" ma:index="24" nillable="true" ma:displayName="Department" ma:format="Dropdown" ma:internalName="Department">
      <xsd:simpleType>
        <xsd:restriction base="dms:Choice">
          <xsd:enumeration value="Business, Energy and Industrial Strategy"/>
          <xsd:enumeration value="Cabinet Office"/>
          <xsd:enumeration value="Communities and Local Government"/>
          <xsd:enumeration value="Culture, Media and Sport"/>
          <xsd:enumeration value="Defence"/>
          <xsd:enumeration value="Education"/>
          <xsd:enumeration value="Environment, Food and Rural Affairs"/>
          <xsd:enumeration value="Exiting the European Union"/>
          <xsd:enumeration value="Foreign and Commonwealth Office"/>
          <xsd:enumeration value="HM Treasury"/>
          <xsd:enumeration value="International Development"/>
          <xsd:enumeration value="International Trade"/>
          <xsd:enumeration value="Health"/>
          <xsd:enumeration value="HMRC"/>
          <xsd:enumeration value="Home Office"/>
          <xsd:enumeration value="Justice"/>
          <xsd:enumeration value="NHS England"/>
          <xsd:enumeration value="Transport"/>
          <xsd:enumeration value="Work and Pensions"/>
        </xsd:restriction>
      </xsd:simpleType>
    </xsd:element>
    <xsd:element name="n78ca1497cf6442fb3babdda785c85ae" ma:index="39" nillable="true" ma:taxonomy="true" ma:internalName="n78ca1497cf6442fb3babdda785c85ae" ma:taxonomyFieldName="Category" ma:displayName="Category" ma:indexed="true" ma:default="" ma:fieldId="{778ca149-7cf6-442f-b3ba-bdda785c85ae}" ma:sspId="eb37f91c-4bb8-4ab3-bc5a-cd8753815459" ma:termSetId="fdda81a6-47fd-48fa-9a20-6ed040d3b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3dc9349b3384741bd6025ba1321f3a9" ma:index="41" nillable="true" ma:taxonomy="true" ma:internalName="j3dc9349b3384741bd6025ba1321f3a9" ma:taxonomyFieldName="Circulation" ma:displayName="Circulation" ma:indexed="true" ma:default="" ma:fieldId="{33dc9349-b338-4741-bd60-25ba1321f3a9}" ma:sspId="eb37f91c-4bb8-4ab3-bc5a-cd8753815459" ma:termSetId="f0f3d9b7-bf02-42f5-b887-16455fa55310" ma:anchorId="6075679c-1e86-4f5c-8343-cf1f0bb0c4a9" ma:open="false" ma:isKeyword="false">
      <xsd:complexType>
        <xsd:sequence>
          <xsd:element ref="pc:Terms" minOccurs="0" maxOccurs="1"/>
        </xsd:sequence>
      </xsd:complexType>
    </xsd:element>
    <xsd:element name="g2d8248192724a17975a7892e991e827" ma:index="42" nillable="true" ma:taxonomy="true" ma:internalName="g2d8248192724a17975a7892e991e827" ma:taxonomyFieldName="Inquiry" ma:displayName="Inquiry" ma:indexed="true" ma:default="" ma:fieldId="{02d82481-9272-4a17-975a-7892e991e827}" ma:sspId="eb37f91c-4bb8-4ab3-bc5a-cd8753815459" ma:termSetId="e92b6cb5-89aa-4b85-8d83-b805cf84055d" ma:anchorId="7d149e6c-9577-48d4-8bff-95596adb139d" ma:open="false" ma:isKeyword="false">
      <xsd:complexType>
        <xsd:sequence>
          <xsd:element ref="pc:Terms" minOccurs="0" maxOccurs="1"/>
        </xsd:sequence>
      </xsd:complexType>
    </xsd:element>
    <xsd:element name="MediaServiceMetadata" ma:index="5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6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6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6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0776d-0a3c-44b4-bff2-0ceaafb13046" elementFormDefault="qualified">
    <xsd:import namespace="http://schemas.microsoft.com/office/2006/documentManagement/types"/>
    <xsd:import namespace="http://schemas.microsoft.com/office/infopath/2007/PartnerControls"/>
    <xsd:element name="DateReceived" ma:index="9" nillable="true" ma:displayName="Date Received" ma:format="DateOnly" ma:internalName="DateReceived">
      <xsd:simpleType>
        <xsd:restriction base="dms:DateTime"/>
      </xsd:simpleType>
    </xsd:element>
    <xsd:element name="DateSent" ma:index="10" nillable="true" ma:displayName="Date Sent" ma:format="DateOnly" ma:indexed="true" ma:internalName="DateSent">
      <xsd:simpleType>
        <xsd:restriction base="dms:DateTime"/>
      </xsd:simpleType>
    </xsd:element>
    <xsd:element name="EndofSessionDate" ma:index="25" nillable="true" ma:displayName="End of Session Date" ma:format="DateOnly" ma:internalName="EndofSessionDate">
      <xsd:simpleType>
        <xsd:restriction base="dms:DateTime"/>
      </xsd:simpleType>
    </xsd:element>
    <xsd:element name="TransfertoArchives" ma:index="26" nillable="true" ma:displayName="Transfer to Archives" ma:default="0" ma:internalName="TransfertoArchives">
      <xsd:simpleType>
        <xsd:restriction base="dms:Boolean"/>
      </xsd:simpleType>
    </xsd:element>
    <xsd:element name="RecordNumber" ma:index="31" nillable="true" ma:displayName="Record Number" ma:indexed="true" ma:internalName="RecordNumber">
      <xsd:simpleType>
        <xsd:restriction base="dms:Text">
          <xsd:maxLength value="255"/>
        </xsd:restriction>
      </xsd:simpleType>
    </xsd:element>
    <xsd:element name="c4838c65c76546ae93d5703426802f7f" ma:index="34" nillable="true" ma:taxonomy="true" ma:internalName="c4838c65c76546ae93d5703426802f7f" ma:taxonomyFieldName="RMKeyword1" ma:displayName="RM Keyword 1" ma:default="" ma:fieldId="{c4838c65-c765-46ae-93d5-703426802f7f}" ma:sspId="eb37f91c-4bb8-4ab3-bc5a-cd8753815459" ma:termSetId="6ce78382-c8e8-44b0-9862-0d52dc2f47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f926d7f5b14a74bee86c3452d91372" ma:index="38" nillable="true" ma:taxonomy="true" ma:internalName="e6f926d7f5b14a74bee86c3452d91372" ma:taxonomyFieldName="Sessions" ma:displayName="Session" ma:indexed="true" ma:default="57;#2019-20|66e74676-00e6-4c37-adc4-b954b89ccd7c" ma:fieldId="{e6f926d7-f5b1-4a74-bee8-6c3452d91372}" ma:sspId="eb37f91c-4bb8-4ab3-bc5a-cd8753815459" ma:termSetId="ccb1e33e-6f67-48da-8bc5-b9a73ec875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0fc526a5c840319a97fd94028e9904" ma:index="44" nillable="true" ma:taxonomy="true" ma:internalName="cd0fc526a5c840319a97fd94028e9904" ma:taxonomyFieldName="RMKeyword4" ma:displayName="RM Keyword 4" ma:default="" ma:fieldId="{cd0fc526-a5c8-4031-9a97-fd94028e9904}" ma:sspId="eb37f91c-4bb8-4ab3-bc5a-cd8753815459" ma:termSetId="35662a10-3587-4b3e-a59c-955899b591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ef09377e3444258679b6035a1ff93a" ma:index="45" nillable="true" ma:taxonomy="true" ma:internalName="g3ef09377e3444258679b6035a1ff93a" ma:taxonomyFieldName="RMKeyword3" ma:displayName="RM Keyword 3" ma:default="" ma:fieldId="{03ef0937-7e34-4425-8679-b6035a1ff93a}" ma:sspId="eb37f91c-4bb8-4ab3-bc5a-cd8753815459" ma:termSetId="4114c526-84fc-4c3e-bdac-645514365e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c5b17cd04246da82e5604daf08bc68" ma:index="59" nillable="true" ma:taxonomy="true" ma:internalName="j6c5b17cd04246da82e5604daf08bc68" ma:taxonomyFieldName="RMKeyword2" ma:displayName="RM Keyword 2" ma:default="" ma:fieldId="{36c5b17c-d042-46da-82e5-604daf08bc68}" ma:sspId="eb37f91c-4bb8-4ab3-bc5a-cd8753815459" ma:termSetId="6d4083f0-4a5b-4f0d-bf61-1a7bc95d06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d72e2-090a-4e7d-987e-218d8a0db591" elementFormDefault="qualified">
    <xsd:import namespace="http://schemas.microsoft.com/office/2006/documentManagement/types"/>
    <xsd:import namespace="http://schemas.microsoft.com/office/infopath/2007/PartnerControls"/>
    <xsd:element name="Visit" ma:index="11" nillable="true" ma:displayName="Visit" ma:list="{fd3b86c5-805e-4f10-81f2-3fca585d0f45}" ma:internalName="Visit" ma:showField="Title" ma:web="c86d72e2-090a-4e7d-987e-218d8a0db591">
      <xsd:simpleType>
        <xsd:restriction base="dms:Lookup"/>
      </xsd:simpleType>
    </xsd:element>
    <xsd:element name="Specialist_x0020_Adviser" ma:index="17" nillable="true" ma:displayName="Specialist Adviser" ma:list="{fc1bc401-7947-4552-be01-0de8dcaca917}" ma:internalName="Specialist_x0020_Adviser" ma:showField="Title" ma:web="c86d72e2-090a-4e7d-987e-218d8a0db591">
      <xsd:simpleType>
        <xsd:restriction base="dms:Lookup"/>
      </xsd:simpleType>
    </xsd:element>
    <xsd:element name="Witness" ma:index="18" nillable="true" ma:displayName="Witness" ma:list="{3c61cb01-57d0-48af-9ad8-0430054aef58}" ma:internalName="Witness" ma:showField="Title" ma:web="c86d72e2-090a-4e7d-987e-218d8a0db591">
      <xsd:simpleType>
        <xsd:restriction base="dms:Lookup"/>
      </xsd:simpleType>
    </xsd:element>
    <xsd:element name="Specialist_x0020_Adviser_x003a_First_x0020_Name" ma:index="36" nillable="true" ma:displayName="Specialist Adviser:First Name" ma:list="{fc1bc401-7947-4552-be01-0de8dcaca917}" ma:internalName="Specialist_x0020_Adviser_x003a_First_x0020_Name" ma:readOnly="true" ma:showField="FirstName" ma:web="c86d72e2-090a-4e7d-987e-218d8a0db591">
      <xsd:simpleType>
        <xsd:restriction base="dms:Lookup"/>
      </xsd:simpleType>
    </xsd:element>
    <xsd:element name="Specialist_x0020_Adviser_x003a_Full_x0020_Name" ma:index="37" nillable="true" ma:displayName="Specialist Adviser:Full Name" ma:list="{fc1bc401-7947-4552-be01-0de8dcaca917}" ma:internalName="Specialist_x0020_Adviser_x003a_Full_x0020_Name" ma:readOnly="true" ma:showField="FullName" ma:web="c86d72e2-090a-4e7d-987e-218d8a0db591">
      <xsd:simpleType>
        <xsd:restriction base="dms:Lookup"/>
      </xsd:simpleType>
    </xsd:element>
    <xsd:element name="Visit_x003a_Start_x0020_Time" ma:index="48" nillable="true" ma:displayName="Visit:Start Time" ma:list="{fd3b86c5-805e-4f10-81f2-3fca585d0f45}" ma:internalName="Visit_x003a_Start_x0020_Time" ma:readOnly="true" ma:showField="EventDate" ma:web="c86d72e2-090a-4e7d-987e-218d8a0db591">
      <xsd:simpleType>
        <xsd:restriction base="dms:Lookup"/>
      </xsd:simpleType>
    </xsd:element>
    <xsd:element name="Visit_x003a_End_x0020_Time" ma:index="49" nillable="true" ma:displayName="Visit:End Time" ma:list="{fd3b86c5-805e-4f10-81f2-3fca585d0f45}" ma:internalName="Visit_x003a_End_x0020_Time" ma:readOnly="true" ma:showField="EndDate" ma:web="c86d72e2-090a-4e7d-987e-218d8a0db591">
      <xsd:simpleType>
        <xsd:restriction base="dms:Lookup"/>
      </xsd:simpleType>
    </xsd:element>
    <xsd:element name="Witness_x003a_First_x0020_Name" ma:index="51" nillable="true" ma:displayName="Witness:First Name" ma:list="{3c61cb01-57d0-48af-9ad8-0430054aef58}" ma:internalName="Witness_x003a_First_x0020_Name" ma:readOnly="true" ma:showField="First_x0020_Name" ma:web="c86d72e2-090a-4e7d-987e-218d8a0db591">
      <xsd:simpleType>
        <xsd:restriction base="dms:Lookup"/>
      </xsd:simpleType>
    </xsd:element>
    <xsd:element name="Witness_x003a_Full_x0020_Name" ma:index="52" nillable="true" ma:displayName="Witness:Full Name" ma:list="{3c61cb01-57d0-48af-9ad8-0430054aef58}" ma:internalName="Witness_x003a_Full_x0020_Name" ma:readOnly="true" ma:showField="Full_x0020_Name" ma:web="c86d72e2-090a-4e7d-987e-218d8a0db591">
      <xsd:simpleType>
        <xsd:restriction base="dms:Lookup"/>
      </xsd:simpleType>
    </xsd:element>
    <xsd:element name="Witness_x003a_Job_x0020_Title" ma:index="53" nillable="true" ma:displayName="Witness:Job Title" ma:list="{3c61cb01-57d0-48af-9ad8-0430054aef58}" ma:internalName="Witness_x003a_Job_x0020_Title" ma:readOnly="true" ma:showField="Job_x0020_Title" ma:web="c86d72e2-090a-4e7d-987e-218d8a0db59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18433-7710-49bd-9bb4-0bb85747556a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4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5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6DDF9-BA56-4502-B266-AA001FA2D4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6BED8F4-8C6D-4D00-94AC-5084DF5C4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07FC5-9008-49ED-835D-4F5B253D8CAC}">
  <ds:schemaRefs>
    <ds:schemaRef ds:uri="http://purl.org/dc/elements/1.1/"/>
    <ds:schemaRef ds:uri="http://schemas.microsoft.com/office/2006/metadata/properties"/>
    <ds:schemaRef ds:uri="c86d72e2-090a-4e7d-987e-218d8a0db591"/>
    <ds:schemaRef ds:uri="6ab18433-7710-49bd-9bb4-0bb8574755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e575b1b-3fe4-4ddf-ad3d-9e162439ca43"/>
    <ds:schemaRef ds:uri="4600776d-0a3c-44b4-bff2-0ceaafb1304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D82496E-6AE3-4846-87C6-1337F42D3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75b1b-3fe4-4ddf-ad3d-9e162439ca43"/>
    <ds:schemaRef ds:uri="4600776d-0a3c-44b4-bff2-0ceaafb13046"/>
    <ds:schemaRef ds:uri="c86d72e2-090a-4e7d-987e-218d8a0db591"/>
    <ds:schemaRef ds:uri="6ab18433-7710-49bd-9bb4-0bb857475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1 - segmental reporting</vt:lpstr>
      <vt:lpstr>Annex 2 - CT movements in SR15</vt:lpstr>
    </vt:vector>
  </TitlesOfParts>
  <Manager/>
  <Company>DfE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CLAYTON, Sean</dc:creator>
  <cp:keywords/>
  <dc:description/>
  <cp:lastModifiedBy>MCQUADE, Robert</cp:lastModifiedBy>
  <cp:revision/>
  <cp:lastPrinted>2020-03-02T17:26:59Z</cp:lastPrinted>
  <dcterms:created xsi:type="dcterms:W3CDTF">2020-02-12T11:45:34Z</dcterms:created>
  <dcterms:modified xsi:type="dcterms:W3CDTF">2020-03-03T14:45:20Z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f77787-5df4-43b6-a2a8-8d8b678a318b_Enabled">
    <vt:lpwstr>True</vt:lpwstr>
  </property>
  <property fmtid="{D5CDD505-2E9C-101B-9397-08002B2CF9AE}" pid="3" name="MSIP_Label_a8f77787-5df4-43b6-a2a8-8d8b678a318b_SiteId">
    <vt:lpwstr>1ce6dd9e-b337-4088-be5e-8dbbec04b34a</vt:lpwstr>
  </property>
  <property fmtid="{D5CDD505-2E9C-101B-9397-08002B2CF9AE}" pid="4" name="MSIP_Label_a8f77787-5df4-43b6-a2a8-8d8b678a318b_Owner">
    <vt:lpwstr>MCQUADER@parliament.uk</vt:lpwstr>
  </property>
  <property fmtid="{D5CDD505-2E9C-101B-9397-08002B2CF9AE}" pid="5" name="MSIP_Label_a8f77787-5df4-43b6-a2a8-8d8b678a318b_SetDate">
    <vt:lpwstr>2020-02-25T15:36:59.1295754Z</vt:lpwstr>
  </property>
  <property fmtid="{D5CDD505-2E9C-101B-9397-08002B2CF9AE}" pid="6" name="MSIP_Label_a8f77787-5df4-43b6-a2a8-8d8b678a318b_Name">
    <vt:lpwstr>Unrestricted</vt:lpwstr>
  </property>
  <property fmtid="{D5CDD505-2E9C-101B-9397-08002B2CF9AE}" pid="7" name="MSIP_Label_a8f77787-5df4-43b6-a2a8-8d8b678a318b_Application">
    <vt:lpwstr>Microsoft Azure Information Protection</vt:lpwstr>
  </property>
  <property fmtid="{D5CDD505-2E9C-101B-9397-08002B2CF9AE}" pid="8" name="MSIP_Label_a8f77787-5df4-43b6-a2a8-8d8b678a318b_ActionId">
    <vt:lpwstr>27ce121a-f76e-4ae6-aaa7-e5320be546aa</vt:lpwstr>
  </property>
  <property fmtid="{D5CDD505-2E9C-101B-9397-08002B2CF9AE}" pid="9" name="MSIP_Label_a8f77787-5df4-43b6-a2a8-8d8b678a318b_Extended_MSFT_Method">
    <vt:lpwstr>Automatic</vt:lpwstr>
  </property>
  <property fmtid="{D5CDD505-2E9C-101B-9397-08002B2CF9AE}" pid="10" name="Sensitivity">
    <vt:lpwstr>Unrestricted</vt:lpwstr>
  </property>
  <property fmtid="{D5CDD505-2E9C-101B-9397-08002B2CF9AE}" pid="11" name="RMKeyword3">
    <vt:lpwstr/>
  </property>
  <property fmtid="{D5CDD505-2E9C-101B-9397-08002B2CF9AE}" pid="12" name="Sessions">
    <vt:lpwstr>57;#2019-20|66e74676-00e6-4c37-adc4-b954b89ccd7c</vt:lpwstr>
  </property>
  <property fmtid="{D5CDD505-2E9C-101B-9397-08002B2CF9AE}" pid="13" name="RMKeyword1">
    <vt:lpwstr>1;#Scrutiny|c40e1206-65f3-4fdf-a232-d54039a38d0a</vt:lpwstr>
  </property>
  <property fmtid="{D5CDD505-2E9C-101B-9397-08002B2CF9AE}" pid="14" name="ContentTypeId">
    <vt:lpwstr>0x01010043FFBCF79C224A4FBE54203FCA75B906</vt:lpwstr>
  </property>
  <property fmtid="{D5CDD505-2E9C-101B-9397-08002B2CF9AE}" pid="15" name="TaxCatchAll">
    <vt:lpwstr>1;#Scrutiny|c40e1206-65f3-4fdf-a232-d54039a38d0a;#57;#2019-20|66e74676-00e6-4c37-adc4-b954b89ccd7c</vt:lpwstr>
  </property>
  <property fmtid="{D5CDD505-2E9C-101B-9397-08002B2CF9AE}" pid="16" name="RMKeyword4">
    <vt:lpwstr/>
  </property>
  <property fmtid="{D5CDD505-2E9C-101B-9397-08002B2CF9AE}" pid="17" name="_dlc_DocIdItemGuid">
    <vt:lpwstr>720b42cd-20ee-4e76-8d5d-78362635aa21</vt:lpwstr>
  </property>
  <property fmtid="{D5CDD505-2E9C-101B-9397-08002B2CF9AE}" pid="18" name="Inquiry">
    <vt:lpwstr/>
  </property>
  <property fmtid="{D5CDD505-2E9C-101B-9397-08002B2CF9AE}" pid="19" name="RMKeyword2">
    <vt:lpwstr/>
  </property>
  <property fmtid="{D5CDD505-2E9C-101B-9397-08002B2CF9AE}" pid="20" name="k5b153ee974a4a57a7568e533217f2cb">
    <vt:lpwstr/>
  </property>
  <property fmtid="{D5CDD505-2E9C-101B-9397-08002B2CF9AE}" pid="21" name="Circulation">
    <vt:lpwstr/>
  </property>
  <property fmtid="{D5CDD505-2E9C-101B-9397-08002B2CF9AE}" pid="22" name="ProtectiveMarking">
    <vt:lpwstr/>
  </property>
  <property fmtid="{D5CDD505-2E9C-101B-9397-08002B2CF9AE}" pid="23" name="Category">
    <vt:lpwstr/>
  </property>
</Properties>
</file>