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ap03f\DCCS_Rdf$\COURTNEYD\Desktop\Estimates\"/>
    </mc:Choice>
  </mc:AlternateContent>
  <xr:revisionPtr revIDLastSave="0" documentId="13_ncr:1_{D95FA47C-C5AA-4781-95A2-F114378A1BF2}" xr6:coauthVersionLast="44" xr6:coauthVersionMax="44" xr10:uidLastSave="{00000000-0000-0000-0000-000000000000}"/>
  <bookViews>
    <workbookView xWindow="-110" yWindow="-110" windowWidth="19420" windowHeight="10420" activeTab="2" xr2:uid="{E294B638-24A6-40BF-B4AE-512421EA598F}"/>
  </bookViews>
  <sheets>
    <sheet name="Table A (i)" sheetId="2" r:id="rId1"/>
    <sheet name="Table A (ii)" sheetId="1" r:id="rId2"/>
    <sheet name="Table B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8" i="4" l="1"/>
  <c r="C108" i="4"/>
  <c r="D108" i="4" s="1"/>
  <c r="B108" i="4"/>
  <c r="D104" i="4"/>
  <c r="B103" i="4"/>
  <c r="B102" i="4"/>
  <c r="D102" i="4" s="1"/>
  <c r="H101" i="4"/>
  <c r="D101" i="4"/>
  <c r="H100" i="4"/>
  <c r="D100" i="4"/>
  <c r="C100" i="4"/>
  <c r="H99" i="4"/>
  <c r="B99" i="4"/>
  <c r="D99" i="4" s="1"/>
  <c r="H98" i="4"/>
  <c r="D98" i="4"/>
  <c r="C98" i="4"/>
  <c r="H97" i="4"/>
  <c r="C97" i="4"/>
  <c r="D97" i="4" s="1"/>
  <c r="H96" i="4"/>
  <c r="D96" i="4"/>
  <c r="H95" i="4"/>
  <c r="D95" i="4"/>
  <c r="H94" i="4"/>
  <c r="D94" i="4"/>
  <c r="C94" i="4"/>
  <c r="H92" i="4"/>
  <c r="C92" i="4"/>
  <c r="D92" i="4" s="1"/>
  <c r="H91" i="4"/>
  <c r="D91" i="4"/>
  <c r="C91" i="4"/>
  <c r="H90" i="4"/>
  <c r="C90" i="4"/>
  <c r="D90" i="4" s="1"/>
  <c r="H89" i="4"/>
  <c r="D89" i="4"/>
  <c r="H88" i="4"/>
  <c r="D88" i="4"/>
  <c r="H87" i="4"/>
  <c r="D87" i="4"/>
  <c r="C87" i="4"/>
  <c r="H86" i="4"/>
  <c r="C86" i="4"/>
  <c r="D86" i="4" s="1"/>
  <c r="D81" i="4"/>
  <c r="H80" i="4"/>
  <c r="D80" i="4"/>
  <c r="H79" i="4"/>
  <c r="D79" i="4"/>
  <c r="H78" i="4"/>
  <c r="D78" i="4"/>
  <c r="H77" i="4"/>
  <c r="H76" i="4"/>
  <c r="D76" i="4"/>
  <c r="H75" i="4"/>
  <c r="D75" i="4"/>
  <c r="H74" i="4"/>
  <c r="D74" i="4"/>
  <c r="H73" i="4"/>
  <c r="E73" i="4"/>
  <c r="D73" i="4"/>
  <c r="H69" i="4"/>
  <c r="D69" i="4"/>
  <c r="H68" i="4"/>
  <c r="E68" i="4"/>
  <c r="D68" i="4"/>
  <c r="H67" i="4"/>
  <c r="D67" i="4"/>
  <c r="H66" i="4"/>
  <c r="D66" i="4"/>
  <c r="H65" i="4"/>
  <c r="D65" i="4"/>
  <c r="H64" i="4"/>
  <c r="D64" i="4"/>
  <c r="H63" i="4"/>
  <c r="D63" i="4"/>
  <c r="H62" i="4"/>
  <c r="D62" i="4"/>
  <c r="H61" i="4"/>
  <c r="D61" i="4"/>
  <c r="H60" i="4"/>
  <c r="D60" i="4"/>
  <c r="F59" i="4"/>
  <c r="H59" i="4" s="1"/>
  <c r="D59" i="4"/>
  <c r="H58" i="4"/>
  <c r="H57" i="4"/>
  <c r="H56" i="4"/>
  <c r="H55" i="4"/>
  <c r="H54" i="4"/>
  <c r="H53" i="4"/>
  <c r="D53" i="4"/>
  <c r="C44" i="4"/>
  <c r="D44" i="4" s="1"/>
  <c r="E34" i="4"/>
  <c r="E24" i="4"/>
  <c r="F20" i="4"/>
  <c r="B20" i="4"/>
  <c r="B26" i="4" s="1"/>
  <c r="B107" i="4" s="1"/>
  <c r="D18" i="4"/>
  <c r="D17" i="4"/>
  <c r="H14" i="4"/>
  <c r="G14" i="4"/>
  <c r="G20" i="4" s="1"/>
  <c r="G26" i="4" s="1"/>
  <c r="G107" i="4" s="1"/>
  <c r="G109" i="4" s="1"/>
  <c r="F14" i="4"/>
  <c r="C14" i="4"/>
  <c r="C20" i="4" s="1"/>
  <c r="B14" i="4"/>
  <c r="E11" i="4"/>
  <c r="E14" i="4" s="1"/>
  <c r="E20" i="4" s="1"/>
  <c r="D11" i="4"/>
  <c r="D14" i="4" s="1"/>
  <c r="G9" i="4"/>
  <c r="F9" i="4"/>
  <c r="E9" i="4"/>
  <c r="C9" i="4"/>
  <c r="C26" i="4" s="1"/>
  <c r="B9" i="4"/>
  <c r="D9" i="4" s="1"/>
  <c r="D8" i="4" s="1"/>
  <c r="E7" i="4"/>
  <c r="D7" i="4"/>
  <c r="E26" i="4" l="1"/>
  <c r="E107" i="4" s="1"/>
  <c r="E109" i="4" s="1"/>
  <c r="D20" i="4"/>
  <c r="B109" i="4"/>
  <c r="H20" i="4"/>
  <c r="C107" i="4"/>
  <c r="D26" i="4"/>
  <c r="D107" i="4" s="1"/>
  <c r="D109" i="4" s="1"/>
  <c r="F26" i="4"/>
  <c r="C109" i="4"/>
  <c r="F107" i="4" l="1"/>
  <c r="F109" i="4" s="1"/>
  <c r="H26" i="4"/>
  <c r="H107" i="4" s="1"/>
  <c r="H109" i="4" s="1"/>
  <c r="M17" i="1" l="1"/>
  <c r="L17" i="1"/>
  <c r="N49" i="2"/>
  <c r="N50" i="2"/>
  <c r="H6" i="2" l="1"/>
  <c r="H10" i="2" s="1"/>
  <c r="N6" i="2"/>
  <c r="H7" i="2"/>
  <c r="N7" i="2"/>
  <c r="H8" i="2"/>
  <c r="F10" i="2"/>
  <c r="G10" i="2"/>
  <c r="L10" i="2"/>
  <c r="M10" i="2"/>
  <c r="H12" i="2"/>
  <c r="N12" i="2"/>
  <c r="O12" i="2"/>
  <c r="H13" i="2"/>
  <c r="N13" i="2"/>
  <c r="O13" i="2" s="1"/>
  <c r="H14" i="2"/>
  <c r="N14" i="2"/>
  <c r="H15" i="2"/>
  <c r="N15" i="2"/>
  <c r="H16" i="2"/>
  <c r="N16" i="2"/>
  <c r="O16" i="2" s="1"/>
  <c r="F17" i="2"/>
  <c r="F19" i="2" s="1"/>
  <c r="N17" i="2"/>
  <c r="G19" i="2"/>
  <c r="L19" i="2"/>
  <c r="M19" i="2"/>
  <c r="H21" i="2"/>
  <c r="H22" i="2"/>
  <c r="H23" i="2"/>
  <c r="H24" i="2"/>
  <c r="H25" i="2"/>
  <c r="N26" i="2"/>
  <c r="O26" i="2" s="1"/>
  <c r="F27" i="2"/>
  <c r="G27" i="2"/>
  <c r="L27" i="2"/>
  <c r="M27" i="2"/>
  <c r="H29" i="2"/>
  <c r="H30" i="2"/>
  <c r="I30" i="2" s="1"/>
  <c r="H31" i="2"/>
  <c r="N31" i="2"/>
  <c r="O31" i="2"/>
  <c r="H32" i="2"/>
  <c r="I32" i="2" s="1"/>
  <c r="H33" i="2"/>
  <c r="I33" i="2" s="1"/>
  <c r="N33" i="2"/>
  <c r="O33" i="2" s="1"/>
  <c r="F34" i="2"/>
  <c r="G34" i="2"/>
  <c r="L34" i="2"/>
  <c r="M34" i="2"/>
  <c r="H36" i="2"/>
  <c r="I36" i="2" s="1"/>
  <c r="H37" i="2"/>
  <c r="H38" i="2"/>
  <c r="I38" i="2" s="1"/>
  <c r="H39" i="2"/>
  <c r="I39" i="2" s="1"/>
  <c r="H40" i="2"/>
  <c r="N40" i="2"/>
  <c r="H41" i="2"/>
  <c r="N41" i="2"/>
  <c r="H42" i="2"/>
  <c r="N42" i="2"/>
  <c r="F43" i="2"/>
  <c r="F52" i="2" s="1"/>
  <c r="G43" i="2"/>
  <c r="N43" i="2"/>
  <c r="H44" i="2"/>
  <c r="N44" i="2"/>
  <c r="H45" i="2"/>
  <c r="N45" i="2"/>
  <c r="H46" i="2"/>
  <c r="N46" i="2"/>
  <c r="H47" i="2"/>
  <c r="N47" i="2"/>
  <c r="H48" i="2"/>
  <c r="I48" i="2"/>
  <c r="N48" i="2"/>
  <c r="H49" i="2"/>
  <c r="I49" i="2" s="1"/>
  <c r="H51" i="2"/>
  <c r="L51" i="2"/>
  <c r="G52" i="2"/>
  <c r="M52" i="2"/>
  <c r="H54" i="2"/>
  <c r="N54" i="2"/>
  <c r="O54" i="2"/>
  <c r="H55" i="2"/>
  <c r="N55" i="2"/>
  <c r="H56" i="2"/>
  <c r="N56" i="2"/>
  <c r="H57" i="2"/>
  <c r="N57" i="2"/>
  <c r="H58" i="2"/>
  <c r="N58" i="2"/>
  <c r="H59" i="2"/>
  <c r="N59" i="2"/>
  <c r="F60" i="2"/>
  <c r="H60" i="2" s="1"/>
  <c r="I60" i="2" s="1"/>
  <c r="G60" i="2"/>
  <c r="L60" i="2"/>
  <c r="M60" i="2"/>
  <c r="N60" i="2" s="1"/>
  <c r="O60" i="2" s="1"/>
  <c r="H62" i="2"/>
  <c r="I62" i="2" s="1"/>
  <c r="N62" i="2"/>
  <c r="H63" i="2"/>
  <c r="N63" i="2"/>
  <c r="N64" i="2"/>
  <c r="F66" i="2"/>
  <c r="G66" i="2"/>
  <c r="H66" i="2"/>
  <c r="I66" i="2" s="1"/>
  <c r="L66" i="2"/>
  <c r="M66" i="2"/>
  <c r="N66" i="2"/>
  <c r="O66" i="2" s="1"/>
  <c r="H68" i="2"/>
  <c r="I68" i="2" s="1"/>
  <c r="N68" i="2"/>
  <c r="O68" i="2"/>
  <c r="H70" i="2"/>
  <c r="N70" i="2"/>
  <c r="O70" i="2"/>
  <c r="H72" i="2"/>
  <c r="N72" i="2"/>
  <c r="G73" i="2"/>
  <c r="H73" i="2"/>
  <c r="I73" i="2"/>
  <c r="N73" i="2"/>
  <c r="H75" i="2"/>
  <c r="H76" i="2"/>
  <c r="N76" i="2"/>
  <c r="H77" i="2"/>
  <c r="N77" i="2"/>
  <c r="H78" i="2"/>
  <c r="I78" i="2"/>
  <c r="N78" i="2"/>
  <c r="O78" i="2" s="1"/>
  <c r="H79" i="2"/>
  <c r="N79" i="2"/>
  <c r="N80" i="2"/>
  <c r="H82" i="2"/>
  <c r="N82" i="2"/>
  <c r="H83" i="2"/>
  <c r="N83" i="2"/>
  <c r="N85" i="2"/>
  <c r="O85" i="2" s="1"/>
  <c r="H87" i="2"/>
  <c r="N87" i="2"/>
  <c r="F89" i="2"/>
  <c r="H89" i="2" s="1"/>
  <c r="I89" i="2" s="1"/>
  <c r="G89" i="2"/>
  <c r="L89" i="2"/>
  <c r="M89" i="2"/>
  <c r="N89" i="2"/>
  <c r="O89" i="2" s="1"/>
  <c r="H91" i="2"/>
  <c r="I91" i="2"/>
  <c r="N91" i="2"/>
  <c r="O91" i="2" s="1"/>
  <c r="G93" i="2"/>
  <c r="H93" i="2" s="1"/>
  <c r="N93" i="2"/>
  <c r="H94" i="2"/>
  <c r="N94" i="2"/>
  <c r="H95" i="2"/>
  <c r="N95" i="2"/>
  <c r="N96" i="2"/>
  <c r="H97" i="2"/>
  <c r="N97" i="2"/>
  <c r="H98" i="2"/>
  <c r="N98" i="2"/>
  <c r="H99" i="2"/>
  <c r="I99" i="2" s="1"/>
  <c r="N99" i="2"/>
  <c r="O99" i="2" s="1"/>
  <c r="H100" i="2"/>
  <c r="N100" i="2"/>
  <c r="F102" i="2"/>
  <c r="G102" i="2"/>
  <c r="L102" i="2"/>
  <c r="M102" i="2"/>
  <c r="H104" i="2"/>
  <c r="N104" i="2"/>
  <c r="H105" i="2"/>
  <c r="N105" i="2"/>
  <c r="H106" i="2"/>
  <c r="N106" i="2"/>
  <c r="N108" i="2"/>
  <c r="H109" i="2"/>
  <c r="N109" i="2"/>
  <c r="H110" i="2"/>
  <c r="N110" i="2"/>
  <c r="H111" i="2"/>
  <c r="H112" i="2"/>
  <c r="H113" i="2"/>
  <c r="F115" i="2"/>
  <c r="G115" i="2"/>
  <c r="H115" i="2"/>
  <c r="I115" i="2" s="1"/>
  <c r="L115" i="2"/>
  <c r="M115" i="2"/>
  <c r="H117" i="2"/>
  <c r="F118" i="2"/>
  <c r="G118" i="2"/>
  <c r="H119" i="2"/>
  <c r="I119" i="2" s="1"/>
  <c r="N119" i="2"/>
  <c r="N127" i="2" s="1"/>
  <c r="O127" i="2" s="1"/>
  <c r="H120" i="2"/>
  <c r="H121" i="2"/>
  <c r="G122" i="2"/>
  <c r="H122" i="2" s="1"/>
  <c r="N122" i="2"/>
  <c r="H123" i="2"/>
  <c r="H124" i="2"/>
  <c r="N124" i="2"/>
  <c r="H125" i="2"/>
  <c r="L127" i="2"/>
  <c r="M127" i="2"/>
  <c r="G129" i="2"/>
  <c r="G134" i="2" s="1"/>
  <c r="H134" i="2" s="1"/>
  <c r="I134" i="2" s="1"/>
  <c r="H130" i="2"/>
  <c r="I130" i="2" s="1"/>
  <c r="H131" i="2"/>
  <c r="I131" i="2" s="1"/>
  <c r="H132" i="2"/>
  <c r="I132" i="2"/>
  <c r="H133" i="2"/>
  <c r="I133" i="2" s="1"/>
  <c r="F134" i="2"/>
  <c r="L134" i="2"/>
  <c r="M134" i="2"/>
  <c r="H135" i="2"/>
  <c r="H136" i="2"/>
  <c r="I136" i="2" s="1"/>
  <c r="H137" i="2"/>
  <c r="N137" i="2"/>
  <c r="O137" i="2" s="1"/>
  <c r="H139" i="2"/>
  <c r="N139" i="2"/>
  <c r="H140" i="2"/>
  <c r="I140" i="2"/>
  <c r="N140" i="2"/>
  <c r="H142" i="2"/>
  <c r="F144" i="2"/>
  <c r="G144" i="2"/>
  <c r="L144" i="2"/>
  <c r="M144" i="2"/>
  <c r="H146" i="2"/>
  <c r="I146" i="2" s="1"/>
  <c r="N146" i="2"/>
  <c r="O146" i="2" s="1"/>
  <c r="H148" i="2"/>
  <c r="I148" i="2"/>
  <c r="N148" i="2"/>
  <c r="O148" i="2" s="1"/>
  <c r="H150" i="2"/>
  <c r="I150" i="2"/>
  <c r="N150" i="2"/>
  <c r="H152" i="2"/>
  <c r="I152" i="2"/>
  <c r="N152" i="2"/>
  <c r="O152" i="2" s="1"/>
  <c r="N154" i="2"/>
  <c r="N158" i="2" s="1"/>
  <c r="F158" i="2"/>
  <c r="G158" i="2"/>
  <c r="I158" i="2"/>
  <c r="L158" i="2"/>
  <c r="M158" i="2"/>
  <c r="H6" i="1"/>
  <c r="I6" i="1"/>
  <c r="N6" i="1"/>
  <c r="O6" i="1" s="1"/>
  <c r="H8" i="1"/>
  <c r="I8" i="1"/>
  <c r="H10" i="1"/>
  <c r="I10" i="1" s="1"/>
  <c r="H11" i="1"/>
  <c r="H12" i="1" s="1"/>
  <c r="F12" i="1"/>
  <c r="F41" i="1" s="1"/>
  <c r="G12" i="1"/>
  <c r="L12" i="1"/>
  <c r="N12" i="1" s="1"/>
  <c r="M12" i="1"/>
  <c r="H14" i="1"/>
  <c r="F17" i="1"/>
  <c r="G17" i="1"/>
  <c r="H17" i="1"/>
  <c r="H19" i="1"/>
  <c r="H21" i="1"/>
  <c r="G23" i="1"/>
  <c r="H23" i="1" s="1"/>
  <c r="H26" i="1" s="1"/>
  <c r="F26" i="1"/>
  <c r="L26" i="1"/>
  <c r="M26" i="1"/>
  <c r="N30" i="1"/>
  <c r="O30" i="1"/>
  <c r="H32" i="1"/>
  <c r="N34" i="1"/>
  <c r="H37" i="1"/>
  <c r="I37" i="1"/>
  <c r="F39" i="1"/>
  <c r="G39" i="1"/>
  <c r="H39" i="1"/>
  <c r="I39" i="1"/>
  <c r="L39" i="1"/>
  <c r="M39" i="1"/>
  <c r="N19" i="2" l="1"/>
  <c r="O19" i="2" s="1"/>
  <c r="N144" i="2"/>
  <c r="O144" i="2" s="1"/>
  <c r="L52" i="2"/>
  <c r="L160" i="2" s="1"/>
  <c r="N51" i="2"/>
  <c r="H34" i="2"/>
  <c r="I34" i="2" s="1"/>
  <c r="H27" i="2"/>
  <c r="I27" i="2" s="1"/>
  <c r="M41" i="1"/>
  <c r="N34" i="2"/>
  <c r="O34" i="2" s="1"/>
  <c r="N27" i="2"/>
  <c r="H17" i="2"/>
  <c r="H19" i="2"/>
  <c r="G26" i="1"/>
  <c r="G41" i="1" s="1"/>
  <c r="H41" i="1" s="1"/>
  <c r="I41" i="1" s="1"/>
  <c r="H144" i="2"/>
  <c r="N102" i="2"/>
  <c r="O102" i="2" s="1"/>
  <c r="H52" i="2"/>
  <c r="I52" i="2" s="1"/>
  <c r="L41" i="1"/>
  <c r="M160" i="2"/>
  <c r="F160" i="2"/>
  <c r="H118" i="2"/>
  <c r="H127" i="2" s="1"/>
  <c r="N115" i="2"/>
  <c r="O115" i="2" s="1"/>
  <c r="O27" i="2"/>
  <c r="N10" i="2"/>
  <c r="G160" i="2"/>
  <c r="H102" i="2"/>
  <c r="I102" i="2" s="1"/>
  <c r="I93" i="2"/>
  <c r="H43" i="2"/>
  <c r="I43" i="2" s="1"/>
  <c r="O100" i="2"/>
  <c r="H129" i="2"/>
  <c r="I129" i="2" s="1"/>
  <c r="G127" i="2"/>
  <c r="F127" i="2"/>
  <c r="N52" i="2" l="1"/>
  <c r="I127" i="2"/>
  <c r="N41" i="1"/>
  <c r="O41" i="1" s="1"/>
  <c r="H160" i="2"/>
  <c r="I160" i="2" s="1"/>
  <c r="O52" i="2" l="1"/>
  <c r="N160" i="2"/>
  <c r="O160" i="2" s="1"/>
</calcChain>
</file>

<file path=xl/sharedStrings.xml><?xml version="1.0" encoding="utf-8"?>
<sst xmlns="http://schemas.openxmlformats.org/spreadsheetml/2006/main" count="368" uniqueCount="254">
  <si>
    <t>Commissioners of Irish Lights</t>
  </si>
  <si>
    <t>Trinity Lighthouse Service</t>
  </si>
  <si>
    <t>Norther Lighthouse Board</t>
  </si>
  <si>
    <t>Funding of Other ALBs Non-Voted</t>
  </si>
  <si>
    <t>AG</t>
  </si>
  <si>
    <t>High Speed Two Limited</t>
  </si>
  <si>
    <t>AF</t>
  </si>
  <si>
    <t>East West Rail Company Limited</t>
  </si>
  <si>
    <t>AE</t>
  </si>
  <si>
    <t>High Speed Rail</t>
  </si>
  <si>
    <t>AD</t>
  </si>
  <si>
    <t xml:space="preserve"> Human Resources Programme expenditure </t>
  </si>
  <si>
    <t xml:space="preserve"> Central Administration </t>
  </si>
  <si>
    <t>AC</t>
  </si>
  <si>
    <t xml:space="preserve">Government Car &amp; Discpatch Agency </t>
  </si>
  <si>
    <t xml:space="preserve"> Vehicle Certification Agency </t>
  </si>
  <si>
    <t xml:space="preserve"> Driver &amp; Vehicle Licensing Agency </t>
  </si>
  <si>
    <t xml:space="preserve"> Motoring Agencies </t>
  </si>
  <si>
    <t>AB</t>
  </si>
  <si>
    <t xml:space="preserve"> Maritime &amp; Coastguard Agency </t>
  </si>
  <si>
    <t>AA</t>
  </si>
  <si>
    <t xml:space="preserve">GLA's Pension </t>
  </si>
  <si>
    <t xml:space="preserve"> Aviation, Maritime, Security &amp; Safety </t>
  </si>
  <si>
    <t>Z</t>
  </si>
  <si>
    <t xml:space="preserve">London and Continental Railways </t>
  </si>
  <si>
    <t xml:space="preserve"> Rail pensions </t>
  </si>
  <si>
    <t xml:space="preserve"> Channel Tunnel Rail Link Eurotunnel </t>
  </si>
  <si>
    <t>Other Railways</t>
  </si>
  <si>
    <t>Y</t>
  </si>
  <si>
    <t xml:space="preserve"> British Transport Police </t>
  </si>
  <si>
    <t xml:space="preserve"> Air Travel Trust Fund </t>
  </si>
  <si>
    <t xml:space="preserve"> Funding of Other ALBs (net) </t>
  </si>
  <si>
    <t>X</t>
  </si>
  <si>
    <t>Network Rail (net)</t>
  </si>
  <si>
    <t>W</t>
  </si>
  <si>
    <t xml:space="preserve"> Highways England ALB (net)</t>
  </si>
  <si>
    <t>V</t>
  </si>
  <si>
    <t>see note number</t>
  </si>
  <si>
    <t xml:space="preserve"> % </t>
  </si>
  <si>
    <t xml:space="preserve"> £ million</t>
  </si>
  <si>
    <t xml:space="preserve">   </t>
  </si>
  <si>
    <t>Change</t>
  </si>
  <si>
    <t>Supplementary Estimate  19/20</t>
  </si>
  <si>
    <t>Supplementary   Estimate   19/20</t>
  </si>
  <si>
    <t>Capital AME</t>
  </si>
  <si>
    <t>Resource AME</t>
  </si>
  <si>
    <t>Programme</t>
  </si>
  <si>
    <t>Description</t>
  </si>
  <si>
    <t xml:space="preserve">Column </t>
  </si>
  <si>
    <t>Subheads</t>
  </si>
  <si>
    <t>Sub total</t>
  </si>
  <si>
    <t>U</t>
  </si>
  <si>
    <t xml:space="preserve">Network Rail </t>
  </si>
  <si>
    <t>T</t>
  </si>
  <si>
    <t>S</t>
  </si>
  <si>
    <t>R</t>
  </si>
  <si>
    <t>Transport Development Fund</t>
  </si>
  <si>
    <t>Q</t>
  </si>
  <si>
    <t>High Speed Rail East West Rail</t>
  </si>
  <si>
    <t xml:space="preserve"> High Speed 2 Finance &amp; Commercial </t>
  </si>
  <si>
    <t xml:space="preserve"> Project Hexagon</t>
  </si>
  <si>
    <t xml:space="preserve"> High Speed 2 Project Sponsorship</t>
  </si>
  <si>
    <t xml:space="preserve"> High Speed 2 Strategy &amp; Engagement</t>
  </si>
  <si>
    <t xml:space="preserve"> High Speed 2 Policy, Legislation &amp; Funding</t>
  </si>
  <si>
    <t>Transport Development Fund -Rail</t>
  </si>
  <si>
    <t>P</t>
  </si>
  <si>
    <t>Staff Costs</t>
  </si>
  <si>
    <t xml:space="preserve"> Premia  Income </t>
  </si>
  <si>
    <t xml:space="preserve"> Subsidies to Private Sector </t>
  </si>
  <si>
    <t xml:space="preserve"> Current grants to Local Government </t>
  </si>
  <si>
    <t>Goods &amp; Services(net)</t>
  </si>
  <si>
    <t xml:space="preserve"> Support for Passenger Rail Services </t>
  </si>
  <si>
    <t>O</t>
  </si>
  <si>
    <t xml:space="preserve">Finance &amp; Estates </t>
  </si>
  <si>
    <t>Digital Services</t>
  </si>
  <si>
    <t>Capability</t>
  </si>
  <si>
    <t xml:space="preserve"> Shared Services - (incl migration)</t>
  </si>
  <si>
    <t xml:space="preserve"> Commercial Contracts</t>
  </si>
  <si>
    <t xml:space="preserve"> Capital Infrastructure Investment (net)</t>
  </si>
  <si>
    <t xml:space="preserve"> Central administration </t>
  </si>
  <si>
    <t xml:space="preserve"> Road Safety Publicity </t>
  </si>
  <si>
    <t>N</t>
  </si>
  <si>
    <t xml:space="preserve"> Rail and Land Compliance </t>
  </si>
  <si>
    <t xml:space="preserve"> Local Research Programme </t>
  </si>
  <si>
    <t xml:space="preserve"> Statistics personal travel </t>
  </si>
  <si>
    <t xml:space="preserve"> Transport analysis and economics research </t>
  </si>
  <si>
    <t xml:space="preserve"> Transport statistics - roads </t>
  </si>
  <si>
    <t xml:space="preserve"> Freight research &amp; statistics </t>
  </si>
  <si>
    <t xml:space="preserve"> Rail Research </t>
  </si>
  <si>
    <t xml:space="preserve"> Road Safety research </t>
  </si>
  <si>
    <t xml:space="preserve"> Analysis and  Strategy</t>
  </si>
  <si>
    <t xml:space="preserve"> Technical &amp; Safety</t>
  </si>
  <si>
    <t xml:space="preserve"> Science, research and support functions </t>
  </si>
  <si>
    <t>M</t>
  </si>
  <si>
    <t>Driver and Vehicle Standards Agency formerly DSA</t>
  </si>
  <si>
    <t>Income</t>
  </si>
  <si>
    <t>Driver and Vehicle Standards Agency formerly VOSA</t>
  </si>
  <si>
    <t>Gross</t>
  </si>
  <si>
    <t xml:space="preserve">Government Car Service </t>
  </si>
  <si>
    <t xml:space="preserve"> Compliance &amp; Agency Sponsorship </t>
  </si>
  <si>
    <t>L</t>
  </si>
  <si>
    <t xml:space="preserve"> Maritime &amp; Coastguard Agency (net)</t>
  </si>
  <si>
    <t>K</t>
  </si>
  <si>
    <t>Airport Capacity Costs(net)</t>
  </si>
  <si>
    <t>Air Safety Support International (net)</t>
  </si>
  <si>
    <t>Maritime Trust Ports</t>
  </si>
  <si>
    <t xml:space="preserve"> National Air Traffic Services Dividend </t>
  </si>
  <si>
    <t>Transitional Aviation Security</t>
  </si>
  <si>
    <t xml:space="preserve"> Transport security </t>
  </si>
  <si>
    <t xml:space="preserve"> Maritime Public Corporation </t>
  </si>
  <si>
    <t xml:space="preserve"> Road Safety Grants </t>
  </si>
  <si>
    <t xml:space="preserve"> Rail Accident Investigation Branch </t>
  </si>
  <si>
    <t xml:space="preserve"> Maritime (net)</t>
  </si>
  <si>
    <t xml:space="preserve"> Marine Accident Investigation Branch (net) </t>
  </si>
  <si>
    <t xml:space="preserve"> Dangerous Goods </t>
  </si>
  <si>
    <t xml:space="preserve"> Aviation Serv Trans, Security &amp; Royal Travel </t>
  </si>
  <si>
    <t xml:space="preserve"> Aviation </t>
  </si>
  <si>
    <t xml:space="preserve"> Air Accident Investigation Branch </t>
  </si>
  <si>
    <t>J</t>
  </si>
  <si>
    <t>Crossrail</t>
  </si>
  <si>
    <t>I</t>
  </si>
  <si>
    <t xml:space="preserve"> Transport for London grant </t>
  </si>
  <si>
    <t xml:space="preserve"> GLA Transport grants </t>
  </si>
  <si>
    <t>H</t>
  </si>
  <si>
    <t xml:space="preserve"> Concessionary Fares </t>
  </si>
  <si>
    <t xml:space="preserve"> Accessibility </t>
  </si>
  <si>
    <t xml:space="preserve"> Bus Service Operator Grant </t>
  </si>
  <si>
    <t>G</t>
  </si>
  <si>
    <t xml:space="preserve"> Sustainable Transport </t>
  </si>
  <si>
    <t xml:space="preserve"> Smart and integrated ticketing </t>
  </si>
  <si>
    <t xml:space="preserve"> Freight grants </t>
  </si>
  <si>
    <t xml:space="preserve"> Europe</t>
  </si>
  <si>
    <t xml:space="preserve"> Cycling England </t>
  </si>
  <si>
    <t xml:space="preserve"> Cleaner Vehicles &amp; Low Carbon </t>
  </si>
  <si>
    <t xml:space="preserve"> Sustainable Travel </t>
  </si>
  <si>
    <t>F</t>
  </si>
  <si>
    <t>see note 7</t>
  </si>
  <si>
    <t>Rail Analysis &amp; Research</t>
  </si>
  <si>
    <t>Rail Reform</t>
  </si>
  <si>
    <t xml:space="preserve"> Intercity Express Programme</t>
  </si>
  <si>
    <t xml:space="preserve"> HS1 and Ashford </t>
  </si>
  <si>
    <t>Strategy</t>
  </si>
  <si>
    <t xml:space="preserve"> Rail projects (incl Thameslink &amp; Digital)</t>
  </si>
  <si>
    <t>Community Rail &amp; Research &amp; Freightliner</t>
  </si>
  <si>
    <t xml:space="preserve"> Rail Grants including Nexus </t>
  </si>
  <si>
    <t xml:space="preserve"> British Rail Board Residuary </t>
  </si>
  <si>
    <t>E</t>
  </si>
  <si>
    <t>Operator of Last Resorts</t>
  </si>
  <si>
    <t>Transport Focus</t>
  </si>
  <si>
    <t>D</t>
  </si>
  <si>
    <t xml:space="preserve"> Capital programme </t>
  </si>
  <si>
    <t xml:space="preserve"> Associated costs of investment </t>
  </si>
  <si>
    <t xml:space="preserve"> Traffic Officer Services </t>
  </si>
  <si>
    <t xml:space="preserve"> Maintenance </t>
  </si>
  <si>
    <t xml:space="preserve"> Making better use of the network </t>
  </si>
  <si>
    <t xml:space="preserve"> HE administration </t>
  </si>
  <si>
    <t>C</t>
  </si>
  <si>
    <t xml:space="preserve"> Other LA Schemes </t>
  </si>
  <si>
    <t xml:space="preserve"> Northern Transport Strategy</t>
  </si>
  <si>
    <t xml:space="preserve"> Integrated Transport Block Grant </t>
  </si>
  <si>
    <t xml:space="preserve"> LA PFI Schemes </t>
  </si>
  <si>
    <t xml:space="preserve"> LA Road Maintenance </t>
  </si>
  <si>
    <t xml:space="preserve"> LA Major Schemes </t>
  </si>
  <si>
    <t xml:space="preserve"> Local Authority Transport </t>
  </si>
  <si>
    <t>B</t>
  </si>
  <si>
    <t xml:space="preserve">Sub total </t>
  </si>
  <si>
    <t xml:space="preserve"> </t>
  </si>
  <si>
    <t xml:space="preserve"> Dartford Crossing Tolls </t>
  </si>
  <si>
    <t xml:space="preserve"> Tolled Crossings </t>
  </si>
  <si>
    <t xml:space="preserve"> A </t>
  </si>
  <si>
    <t>Main Estimate 20/21</t>
  </si>
  <si>
    <t xml:space="preserve">Main Estimate 20/21 </t>
  </si>
  <si>
    <t>Capital DEL</t>
  </si>
  <si>
    <t xml:space="preserve">Resource DEL </t>
  </si>
  <si>
    <t xml:space="preserve"> Bus Subsidies and Concessionary Fares </t>
  </si>
  <si>
    <t>Table B: how DEL &amp; AME funding plans for 2020-21 have altered since Spending Review 2015</t>
  </si>
  <si>
    <t>DfT</t>
  </si>
  <si>
    <t>£ million</t>
  </si>
  <si>
    <t>admin</t>
  </si>
  <si>
    <t>programme</t>
  </si>
  <si>
    <t>Resource DEL total</t>
  </si>
  <si>
    <t xml:space="preserve">AME total </t>
  </si>
  <si>
    <t>DEL baseline for SR2015 (2015-16)</t>
  </si>
  <si>
    <t>SR2015 addition for 2019-20, compared to 2015-16 baseline</t>
  </si>
  <si>
    <t>Spending Review outcome as at 21st January,2016</t>
  </si>
  <si>
    <t>adjustments to reflect Estimates treatment of Research &amp; Development (R&amp;D) (i.e. Change in policy to record R&amp;D, resulted in budgets switch from RDEL to CDEL )</t>
  </si>
  <si>
    <t>Revised Spending Review total on spending control basis</t>
  </si>
  <si>
    <t>SR 19 - control total- non ring fenced</t>
  </si>
  <si>
    <t>SR19 - control total - ring fenced depreciation</t>
  </si>
  <si>
    <t>Additional, new, money awarded since SR2015:-</t>
  </si>
  <si>
    <t>Local Growth Fund and Local Sustainable Transport Fund -Baseline Transfer to DCLG : CPID  COM085</t>
  </si>
  <si>
    <t>Revised Spending Review total as at 11th May, 2016</t>
  </si>
  <si>
    <t>Autumn statement 2016</t>
  </si>
  <si>
    <t>Local Roads &amp; Local Transport Networks (NPIF)</t>
  </si>
  <si>
    <t>Roads Unallocated (NPIF)</t>
  </si>
  <si>
    <t>Digital Signalling (NPIF)</t>
  </si>
  <si>
    <t>Support for Future Transport (NPIF)</t>
  </si>
  <si>
    <t>Transfer from DCLG funding for Local Growth Fund (LGF)</t>
  </si>
  <si>
    <t>Autumn Budget 2017</t>
  </si>
  <si>
    <t>Clean Air Fund (CAF) - Transferred from BEIS</t>
  </si>
  <si>
    <t>Nexus Rolling Stock</t>
  </si>
  <si>
    <t xml:space="preserve">Transforming Cities Fund: Competitive Pot </t>
  </si>
  <si>
    <t>Budget 2020</t>
  </si>
  <si>
    <t xml:space="preserve">Plug in car grant </t>
  </si>
  <si>
    <t>Joint Air Quality Unit (JAQU)</t>
  </si>
  <si>
    <t xml:space="preserve">Potholes </t>
  </si>
  <si>
    <t>Transforming Cities Fund</t>
  </si>
  <si>
    <t>Estimating, forecasting and reprofiling changes:-</t>
  </si>
  <si>
    <t>British Transport Police (BTP) reprofiling (switch from DEL to AME )</t>
  </si>
  <si>
    <t xml:space="preserve">Network Rail AME forecast </t>
  </si>
  <si>
    <t xml:space="preserve">Highways England AME forecast </t>
  </si>
  <si>
    <t xml:space="preserve">High Speed Two (HS2) Limited AME forecast </t>
  </si>
  <si>
    <t xml:space="preserve">Large Local Majors Fund reprofiling from Roads Devolution &amp; Motoring to Network Rail </t>
  </si>
  <si>
    <t>Cab Fitments reprofiling from Rail to Network Rail</t>
  </si>
  <si>
    <t xml:space="preserve">Other AME </t>
  </si>
  <si>
    <t xml:space="preserve">Greater London Authority (GLA's) pension buyout forecast </t>
  </si>
  <si>
    <t>Budget Flex to 2019-20 from 2020-21 at ME2019-20</t>
  </si>
  <si>
    <t xml:space="preserve">NR CDEL allocation for 2020-21 by HMT </t>
  </si>
  <si>
    <t>NR changes to forecast</t>
  </si>
  <si>
    <t xml:space="preserve">Business Rate Retention for GLA Transport Investment Grant </t>
  </si>
  <si>
    <t xml:space="preserve">Reduction in Highways Maintenance Capital  Grant </t>
  </si>
  <si>
    <t xml:space="preserve">Reduction in Highways Maintenance Efficiency Grant </t>
  </si>
  <si>
    <t>Network Rail Budget flex from 2019-20</t>
  </si>
  <si>
    <t>Cover for Loans for Shimmer Relocation Assistance (FT)</t>
  </si>
  <si>
    <t xml:space="preserve">Reduction to Integrated Transport Block </t>
  </si>
  <si>
    <t xml:space="preserve">Budget Exchange to 2020-21 GovTech funding </t>
  </si>
  <si>
    <t xml:space="preserve">High Speed Rail Major Rail Project (HSMRP)  Land &amp;Property Provision (non-cash provisions) </t>
  </si>
  <si>
    <t>Highways England additional CAME cover for Major Projects lands costs provisions, in particular to Highways England’s Regional Investment and Complex Infrastructure programmes.</t>
  </si>
  <si>
    <t>Other AME</t>
  </si>
  <si>
    <t xml:space="preserve">IFRS16 peppercorn lease impacts across ALBs ( non cash Depreciation) </t>
  </si>
  <si>
    <t xml:space="preserve">IFRS16 impact on lease expenses plus interest under new regime (cash changes) </t>
  </si>
  <si>
    <t xml:space="preserve">IFRS16 impact depreciation (non-cash) changes from new regime. </t>
  </si>
  <si>
    <t>Other DEL</t>
  </si>
  <si>
    <t>Neutral funding changes between departments:-</t>
  </si>
  <si>
    <t>Other funding transfers:-</t>
  </si>
  <si>
    <t>Transfer for MCA Obs/SAR capability review from DFID</t>
  </si>
  <si>
    <t>Transfer for DFT - 400ft flying ban and airport flying restriction for drones to MOJ</t>
  </si>
  <si>
    <t>Transfer to MHLG for Local Growth Funding</t>
  </si>
  <si>
    <t xml:space="preserve">Transfer from BEIS to DfT re OLEV </t>
  </si>
  <si>
    <t>Transfer from FCO to DfT (MCA) for CSSF (Conflict, Stability and Security Fund)</t>
  </si>
  <si>
    <t xml:space="preserve">Transfer from DfT to Cabinet Office for Outsourcing programme </t>
  </si>
  <si>
    <t>Transfer from FCO to DfT re One HMG platform</t>
  </si>
  <si>
    <t>Transfer from DFT to DEFRA, relates to Joint Air Quality Unit (JAQU)</t>
  </si>
  <si>
    <t>Transfer to HCO re Civil Service Group (BI4BG)</t>
  </si>
  <si>
    <t>Transfer to CO, relates to Public Sector Geospatial Agreement (PSGA)</t>
  </si>
  <si>
    <t xml:space="preserve">Transfer from DfT to Cabinet Office (CO), relates to Civil Service Live 2020 </t>
  </si>
  <si>
    <t>Transfer from DfT to Ministry of Housing, Communities and Local Government’s  (MHCLG) , relates to Greater Manchester Earn back deal</t>
  </si>
  <si>
    <t xml:space="preserve">Transfer from DfT to CO, relates to funding for the centralised movement of SPADs to Cabinet Office - Pay Cost </t>
  </si>
  <si>
    <t>Transfer from DfT to CO, relates to COP26</t>
  </si>
  <si>
    <t xml:space="preserve">Transfer from MOD to DfT, relates to MCA (ACCF, project Vision 5) </t>
  </si>
  <si>
    <t>Transfer from DExEU (CO) to DfT in relation to four posts moving across to DfT</t>
  </si>
  <si>
    <t>Transfer from DExEU (CO) to DfT in relation to four post moving across to DfT</t>
  </si>
  <si>
    <t>Rail COVID19 uplift from HMT</t>
  </si>
  <si>
    <t>2020-21 Main Estimate DEL totals as at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</si>
</sst>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_-;\-* #,##0.0_-;_-* &quot;-&quot;??_-;_-@_-"/>
    <numFmt numFmtId="167" formatCode="0.0"/>
    <numFmt numFmtId="168" formatCode="#,##0.0000"/>
    <numFmt numFmtId="169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1" xfId="0" applyFont="1" applyFill="1" applyBorder="1" applyAlignment="1">
      <alignment vertical="center" wrapText="1"/>
    </xf>
    <xf numFmtId="9" fontId="3" fillId="0" borderId="2" xfId="2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64" fontId="4" fillId="0" borderId="4" xfId="3" applyNumberFormat="1" applyFont="1" applyFill="1" applyBorder="1" applyAlignment="1">
      <alignment vertical="center" wrapText="1"/>
    </xf>
    <xf numFmtId="9" fontId="4" fillId="0" borderId="4" xfId="2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5" xfId="3" applyNumberFormat="1" applyFont="1" applyFill="1" applyBorder="1" applyAlignment="1">
      <alignment vertical="center" wrapText="1"/>
    </xf>
    <xf numFmtId="164" fontId="4" fillId="0" borderId="3" xfId="3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4" fillId="0" borderId="7" xfId="3" applyNumberFormat="1" applyFont="1" applyFill="1" applyBorder="1" applyAlignment="1">
      <alignment vertical="center" wrapText="1"/>
    </xf>
    <xf numFmtId="9" fontId="4" fillId="0" borderId="8" xfId="2" applyFont="1" applyFill="1" applyBorder="1" applyAlignment="1">
      <alignment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4" fillId="0" borderId="10" xfId="3" applyNumberFormat="1" applyFont="1" applyFill="1" applyBorder="1" applyAlignment="1">
      <alignment vertical="center" wrapText="1"/>
    </xf>
    <xf numFmtId="9" fontId="3" fillId="0" borderId="8" xfId="2" applyFont="1" applyFill="1" applyBorder="1" applyAlignment="1">
      <alignment vertical="center" wrapText="1"/>
    </xf>
    <xf numFmtId="164" fontId="4" fillId="0" borderId="7" xfId="3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4" fillId="0" borderId="7" xfId="3" applyNumberFormat="1" applyFont="1" applyFill="1" applyBorder="1" applyAlignment="1">
      <alignment horizontal="center" vertical="center" wrapText="1"/>
    </xf>
    <xf numFmtId="3" fontId="4" fillId="0" borderId="3" xfId="3" applyNumberFormat="1" applyFont="1" applyFill="1" applyBorder="1" applyAlignment="1">
      <alignment vertical="center" wrapText="1"/>
    </xf>
    <xf numFmtId="165" fontId="4" fillId="0" borderId="10" xfId="1" applyNumberFormat="1" applyFont="1" applyFill="1" applyBorder="1" applyAlignment="1">
      <alignment vertical="center" wrapText="1"/>
    </xf>
    <xf numFmtId="3" fontId="3" fillId="0" borderId="10" xfId="0" applyNumberFormat="1" applyFont="1" applyFill="1" applyBorder="1" applyAlignment="1">
      <alignment vertical="center" wrapText="1"/>
    </xf>
    <xf numFmtId="164" fontId="3" fillId="0" borderId="7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9" fontId="3" fillId="0" borderId="4" xfId="2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164" fontId="3" fillId="0" borderId="1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9" fontId="0" fillId="0" borderId="0" xfId="2" applyFont="1" applyFill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9" fontId="0" fillId="0" borderId="2" xfId="2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64" fontId="4" fillId="0" borderId="4" xfId="4" applyNumberFormat="1" applyFont="1" applyFill="1" applyBorder="1" applyAlignment="1">
      <alignment horizontal="center" vertical="center" wrapText="1"/>
    </xf>
    <xf numFmtId="164" fontId="4" fillId="0" borderId="11" xfId="4" applyNumberFormat="1" applyFont="1" applyFill="1" applyBorder="1" applyAlignment="1">
      <alignment vertical="center" wrapText="1"/>
    </xf>
    <xf numFmtId="9" fontId="3" fillId="0" borderId="10" xfId="2" applyFont="1" applyFill="1" applyBorder="1" applyAlignment="1">
      <alignment vertical="center" wrapText="1"/>
    </xf>
    <xf numFmtId="164" fontId="3" fillId="0" borderId="9" xfId="0" applyNumberFormat="1" applyFont="1" applyFill="1" applyBorder="1" applyAlignment="1">
      <alignment vertical="center" wrapText="1"/>
    </xf>
    <xf numFmtId="9" fontId="3" fillId="0" borderId="7" xfId="2" applyFont="1" applyFill="1" applyBorder="1" applyAlignment="1">
      <alignment vertical="center" wrapText="1"/>
    </xf>
    <xf numFmtId="164" fontId="4" fillId="0" borderId="7" xfId="4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9" fontId="0" fillId="0" borderId="1" xfId="2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64" fontId="4" fillId="0" borderId="4" xfId="3" applyNumberFormat="1" applyFont="1" applyFill="1" applyBorder="1" applyAlignment="1">
      <alignment horizontal="center" vertical="center" wrapText="1"/>
    </xf>
    <xf numFmtId="164" fontId="4" fillId="0" borderId="11" xfId="3" applyNumberFormat="1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4" fillId="0" borderId="4" xfId="3" applyNumberFormat="1" applyFont="1" applyFill="1" applyBorder="1" applyAlignment="1">
      <alignment horizontal="center" vertical="center" wrapText="1"/>
    </xf>
    <xf numFmtId="166" fontId="0" fillId="0" borderId="0" xfId="1" applyNumberFormat="1" applyFont="1" applyFill="1" applyAlignment="1">
      <alignment vertical="center" wrapText="1"/>
    </xf>
    <xf numFmtId="164" fontId="4" fillId="0" borderId="9" xfId="3" applyNumberFormat="1" applyFont="1" applyFill="1" applyBorder="1" applyAlignment="1">
      <alignment horizontal="center" vertical="center" wrapText="1"/>
    </xf>
    <xf numFmtId="9" fontId="4" fillId="0" borderId="5" xfId="2" applyFont="1" applyFill="1" applyBorder="1" applyAlignment="1">
      <alignment vertical="center" wrapText="1"/>
    </xf>
    <xf numFmtId="164" fontId="3" fillId="0" borderId="11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4" fillId="0" borderId="9" xfId="3" applyNumberFormat="1" applyFont="1" applyFill="1" applyBorder="1" applyAlignment="1">
      <alignment vertical="center" wrapText="1"/>
    </xf>
    <xf numFmtId="9" fontId="4" fillId="0" borderId="7" xfId="2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9" fontId="3" fillId="0" borderId="14" xfId="2" applyFont="1" applyFill="1" applyBorder="1" applyAlignment="1">
      <alignment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9" fontId="3" fillId="0" borderId="5" xfId="2" applyFont="1" applyFill="1" applyBorder="1" applyAlignment="1">
      <alignment vertical="center" wrapText="1"/>
    </xf>
    <xf numFmtId="167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/>
    </xf>
    <xf numFmtId="9" fontId="3" fillId="0" borderId="4" xfId="2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64" fontId="4" fillId="0" borderId="7" xfId="3" applyNumberFormat="1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vertical="center" wrapText="1"/>
    </xf>
    <xf numFmtId="165" fontId="3" fillId="0" borderId="7" xfId="1" applyNumberFormat="1" applyFont="1" applyFill="1" applyBorder="1" applyAlignment="1">
      <alignment horizontal="center" vertical="center" wrapText="1"/>
    </xf>
    <xf numFmtId="9" fontId="4" fillId="0" borderId="14" xfId="2" applyFont="1" applyFill="1" applyBorder="1" applyAlignment="1">
      <alignment vertical="center" wrapText="1"/>
    </xf>
    <xf numFmtId="3" fontId="4" fillId="0" borderId="9" xfId="3" applyNumberFormat="1" applyFont="1" applyFill="1" applyBorder="1" applyAlignment="1">
      <alignment horizontal="center" vertical="center" wrapText="1"/>
    </xf>
    <xf numFmtId="164" fontId="4" fillId="0" borderId="14" xfId="3" applyNumberFormat="1" applyFont="1" applyFill="1" applyBorder="1" applyAlignment="1">
      <alignment horizontal="center" vertical="center" wrapText="1"/>
    </xf>
    <xf numFmtId="164" fontId="4" fillId="0" borderId="5" xfId="3" applyNumberFormat="1" applyFont="1" applyFill="1" applyBorder="1" applyAlignment="1">
      <alignment horizontal="right" vertical="center" wrapText="1"/>
    </xf>
    <xf numFmtId="164" fontId="4" fillId="0" borderId="5" xfId="3" applyNumberFormat="1" applyFont="1" applyFill="1" applyBorder="1" applyAlignment="1">
      <alignment horizontal="center" vertical="center" wrapText="1"/>
    </xf>
    <xf numFmtId="164" fontId="4" fillId="0" borderId="14" xfId="3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/>
    <xf numFmtId="9" fontId="3" fillId="0" borderId="0" xfId="2" applyFont="1" applyFill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7" xfId="0" applyFont="1" applyBorder="1"/>
    <xf numFmtId="0" fontId="0" fillId="2" borderId="0" xfId="0" applyFill="1"/>
    <xf numFmtId="0" fontId="0" fillId="0" borderId="5" xfId="0" applyBorder="1" applyAlignment="1">
      <alignment wrapText="1"/>
    </xf>
    <xf numFmtId="0" fontId="6" fillId="0" borderId="5" xfId="0" applyFont="1" applyBorder="1" applyAlignment="1">
      <alignment wrapText="1"/>
    </xf>
    <xf numFmtId="0" fontId="0" fillId="2" borderId="10" xfId="0" applyFill="1" applyBorder="1"/>
    <xf numFmtId="166" fontId="0" fillId="0" borderId="7" xfId="1" applyNumberFormat="1" applyFont="1" applyBorder="1" applyAlignment="1">
      <alignment wrapText="1"/>
    </xf>
    <xf numFmtId="0" fontId="8" fillId="3" borderId="0" xfId="0" applyFont="1" applyFill="1" applyAlignment="1">
      <alignment wrapText="1"/>
    </xf>
    <xf numFmtId="166" fontId="0" fillId="3" borderId="4" xfId="1" applyNumberFormat="1" applyFont="1" applyFill="1" applyBorder="1" applyAlignment="1">
      <alignment wrapText="1"/>
    </xf>
    <xf numFmtId="0" fontId="0" fillId="0" borderId="7" xfId="0" applyBorder="1" applyAlignment="1">
      <alignment wrapText="1"/>
    </xf>
    <xf numFmtId="166" fontId="0" fillId="0" borderId="7" xfId="1" applyNumberFormat="1" applyFont="1" applyBorder="1"/>
    <xf numFmtId="0" fontId="8" fillId="3" borderId="9" xfId="0" applyFont="1" applyFill="1" applyBorder="1" applyAlignment="1">
      <alignment wrapText="1"/>
    </xf>
    <xf numFmtId="166" fontId="0" fillId="3" borderId="14" xfId="1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3" borderId="15" xfId="0" applyFont="1" applyFill="1" applyBorder="1" applyAlignment="1">
      <alignment wrapText="1"/>
    </xf>
    <xf numFmtId="166" fontId="0" fillId="3" borderId="14" xfId="1" applyNumberFormat="1" applyFont="1" applyFill="1" applyBorder="1"/>
    <xf numFmtId="0" fontId="6" fillId="4" borderId="0" xfId="0" applyFont="1" applyFill="1" applyAlignment="1">
      <alignment wrapText="1"/>
    </xf>
    <xf numFmtId="166" fontId="0" fillId="4" borderId="7" xfId="1" applyNumberFormat="1" applyFont="1" applyFill="1" applyBorder="1"/>
    <xf numFmtId="0" fontId="9" fillId="0" borderId="0" xfId="0" applyFont="1" applyAlignment="1">
      <alignment wrapText="1"/>
    </xf>
    <xf numFmtId="0" fontId="0" fillId="2" borderId="0" xfId="0" applyFill="1" applyAlignment="1">
      <alignment wrapText="1"/>
    </xf>
    <xf numFmtId="166" fontId="0" fillId="2" borderId="7" xfId="1" applyNumberFormat="1" applyFont="1" applyFill="1" applyBorder="1"/>
    <xf numFmtId="0" fontId="0" fillId="0" borderId="16" xfId="0" applyBorder="1" applyAlignment="1">
      <alignment wrapText="1"/>
    </xf>
    <xf numFmtId="166" fontId="0" fillId="0" borderId="5" xfId="1" applyNumberFormat="1" applyFont="1" applyBorder="1"/>
    <xf numFmtId="0" fontId="10" fillId="0" borderId="0" xfId="0" applyFont="1" applyAlignment="1">
      <alignment wrapText="1"/>
    </xf>
    <xf numFmtId="166" fontId="10" fillId="0" borderId="7" xfId="1" applyNumberFormat="1" applyFont="1" applyBorder="1"/>
    <xf numFmtId="0" fontId="0" fillId="5" borderId="0" xfId="0" applyFill="1" applyAlignment="1">
      <alignment wrapText="1"/>
    </xf>
    <xf numFmtId="166" fontId="0" fillId="5" borderId="7" xfId="1" applyNumberFormat="1" applyFont="1" applyFill="1" applyBorder="1"/>
    <xf numFmtId="166" fontId="11" fillId="2" borderId="7" xfId="1" applyNumberFormat="1" applyFont="1" applyFill="1" applyBorder="1"/>
    <xf numFmtId="0" fontId="0" fillId="0" borderId="0" xfId="0" applyAlignment="1">
      <alignment horizontal="left" wrapText="1"/>
    </xf>
    <xf numFmtId="167" fontId="0" fillId="0" borderId="0" xfId="0" applyNumberFormat="1" applyAlignment="1">
      <alignment wrapText="1"/>
    </xf>
    <xf numFmtId="0" fontId="7" fillId="0" borderId="2" xfId="0" applyFont="1" applyBorder="1" applyAlignment="1">
      <alignment wrapText="1"/>
    </xf>
    <xf numFmtId="164" fontId="6" fillId="0" borderId="4" xfId="0" applyNumberFormat="1" applyFont="1" applyBorder="1"/>
    <xf numFmtId="164" fontId="0" fillId="2" borderId="0" xfId="0" applyNumberFormat="1" applyFill="1"/>
    <xf numFmtId="166" fontId="0" fillId="3" borderId="0" xfId="1" applyNumberFormat="1" applyFont="1" applyFill="1" applyAlignment="1">
      <alignment wrapText="1"/>
    </xf>
    <xf numFmtId="166" fontId="0" fillId="3" borderId="7" xfId="1" applyNumberFormat="1" applyFont="1" applyFill="1" applyBorder="1"/>
    <xf numFmtId="166" fontId="0" fillId="3" borderId="0" xfId="1" applyNumberFormat="1" applyFont="1" applyFill="1"/>
    <xf numFmtId="166" fontId="0" fillId="0" borderId="0" xfId="0" applyNumberFormat="1" applyAlignment="1">
      <alignment wrapText="1"/>
    </xf>
    <xf numFmtId="0" fontId="11" fillId="0" borderId="0" xfId="0" applyFont="1" applyAlignment="1">
      <alignment horizontal="right" wrapText="1"/>
    </xf>
    <xf numFmtId="43" fontId="11" fillId="0" borderId="0" xfId="0" applyNumberFormat="1" applyFont="1" applyAlignment="1">
      <alignment wrapText="1"/>
    </xf>
    <xf numFmtId="169" fontId="0" fillId="0" borderId="0" xfId="0" applyNumberFormat="1" applyAlignment="1">
      <alignment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5">
    <cellStyle name="Comma" xfId="1" builtinId="3"/>
    <cellStyle name="Comma 2" xfId="3" xr:uid="{B369DBC3-8C2E-4FC3-8E25-538B5FD10B30}"/>
    <cellStyle name="Comma 2 2" xfId="4" xr:uid="{C5A4C024-35CA-44BD-BA44-E24FF1F048C6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CDE3-7299-4920-8231-EF9F3770EF65}">
  <sheetPr>
    <pageSetUpPr fitToPage="1"/>
  </sheetPr>
  <dimension ref="A1:T164"/>
  <sheetViews>
    <sheetView zoomScale="85" zoomScaleNormal="85" workbookViewId="0">
      <pane ySplit="5" topLeftCell="A54" activePane="bottomLeft" state="frozen"/>
      <selection pane="bottomLeft" activeCell="D62" sqref="D62"/>
    </sheetView>
  </sheetViews>
  <sheetFormatPr defaultColWidth="8.7265625" defaultRowHeight="14.5" x14ac:dyDescent="0.35"/>
  <cols>
    <col min="1" max="1" width="7.54296875" style="44" customWidth="1"/>
    <col min="2" max="2" width="5.54296875" style="44" bestFit="1" customWidth="1"/>
    <col min="3" max="3" width="8.1796875" style="44" customWidth="1"/>
    <col min="4" max="4" width="16.1796875" style="44" customWidth="1"/>
    <col min="5" max="5" width="22.453125" style="44" customWidth="1"/>
    <col min="6" max="7" width="12.1796875" style="44" customWidth="1"/>
    <col min="8" max="8" width="8.7265625" style="44" customWidth="1"/>
    <col min="9" max="9" width="9.81640625" style="45" customWidth="1"/>
    <col min="10" max="10" width="8.54296875" style="97" customWidth="1"/>
    <col min="11" max="11" width="9.453125" style="44" customWidth="1"/>
    <col min="12" max="12" width="12.1796875" style="44" customWidth="1"/>
    <col min="13" max="13" width="12.7265625" style="44" customWidth="1"/>
    <col min="14" max="14" width="8.7265625" style="44"/>
    <col min="15" max="15" width="12.1796875" style="44" bestFit="1" customWidth="1"/>
    <col min="16" max="16" width="8.7265625" style="97"/>
    <col min="17" max="17" width="8.7265625" style="44"/>
    <col min="18" max="18" width="9" style="44" customWidth="1"/>
    <col min="19" max="19" width="8.7265625" style="44"/>
    <col min="20" max="20" width="10.26953125" style="44" customWidth="1"/>
    <col min="21" max="16384" width="8.7265625" style="44"/>
  </cols>
  <sheetData>
    <row r="1" spans="1:19" x14ac:dyDescent="0.35">
      <c r="A1" s="151"/>
      <c r="B1" s="152"/>
    </row>
    <row r="2" spans="1:19" x14ac:dyDescent="0.35">
      <c r="A2" s="98"/>
      <c r="B2" s="44">
        <v>1</v>
      </c>
      <c r="C2" s="44">
        <v>2</v>
      </c>
      <c r="D2" s="44">
        <v>3</v>
      </c>
      <c r="E2" s="44">
        <v>4</v>
      </c>
      <c r="F2" s="44">
        <v>5</v>
      </c>
      <c r="G2" s="44">
        <v>6</v>
      </c>
      <c r="H2" s="44">
        <v>7</v>
      </c>
      <c r="I2" s="44">
        <v>8</v>
      </c>
      <c r="J2" s="97">
        <v>9</v>
      </c>
      <c r="K2" s="44">
        <v>10</v>
      </c>
      <c r="L2" s="44">
        <v>11</v>
      </c>
      <c r="M2" s="44">
        <v>12</v>
      </c>
      <c r="N2" s="44">
        <v>13</v>
      </c>
      <c r="O2" s="44">
        <v>14</v>
      </c>
      <c r="P2" s="97">
        <v>15</v>
      </c>
    </row>
    <row r="3" spans="1:19" ht="26" x14ac:dyDescent="0.35">
      <c r="B3" s="42" t="s">
        <v>49</v>
      </c>
      <c r="C3" s="42" t="s">
        <v>48</v>
      </c>
      <c r="D3" s="6" t="s">
        <v>47</v>
      </c>
      <c r="E3" s="3" t="s">
        <v>46</v>
      </c>
      <c r="F3" s="147" t="s">
        <v>173</v>
      </c>
      <c r="G3" s="147"/>
      <c r="H3" s="147"/>
      <c r="I3" s="147"/>
      <c r="J3" s="147"/>
      <c r="K3" s="41"/>
      <c r="L3" s="147" t="s">
        <v>172</v>
      </c>
      <c r="M3" s="147"/>
      <c r="N3" s="147"/>
      <c r="O3" s="147"/>
      <c r="P3" s="148"/>
    </row>
    <row r="4" spans="1:19" ht="39" x14ac:dyDescent="0.35">
      <c r="B4" s="40"/>
      <c r="C4" s="39"/>
      <c r="D4" s="21"/>
      <c r="E4" s="74"/>
      <c r="F4" s="9" t="s">
        <v>171</v>
      </c>
      <c r="G4" s="9" t="s">
        <v>43</v>
      </c>
      <c r="H4" s="153" t="s">
        <v>41</v>
      </c>
      <c r="I4" s="153"/>
      <c r="J4" s="94"/>
      <c r="K4" s="75"/>
      <c r="L4" s="37" t="s">
        <v>170</v>
      </c>
      <c r="M4" s="37" t="s">
        <v>43</v>
      </c>
      <c r="N4" s="153" t="s">
        <v>41</v>
      </c>
      <c r="O4" s="153"/>
      <c r="P4" s="42"/>
    </row>
    <row r="5" spans="1:19" ht="25.5" customHeight="1" x14ac:dyDescent="0.35">
      <c r="B5" s="35" t="s">
        <v>40</v>
      </c>
      <c r="C5" s="34" t="s">
        <v>40</v>
      </c>
      <c r="D5" s="35" t="s">
        <v>40</v>
      </c>
      <c r="E5" s="96" t="s">
        <v>40</v>
      </c>
      <c r="F5" s="146" t="s">
        <v>39</v>
      </c>
      <c r="G5" s="147"/>
      <c r="H5" s="148"/>
      <c r="I5" s="33" t="s">
        <v>38</v>
      </c>
      <c r="J5" s="94" t="s">
        <v>37</v>
      </c>
      <c r="K5" s="16"/>
      <c r="L5" s="147" t="s">
        <v>39</v>
      </c>
      <c r="M5" s="147"/>
      <c r="N5" s="148"/>
      <c r="O5" s="9" t="s">
        <v>38</v>
      </c>
      <c r="P5" s="94" t="s">
        <v>37</v>
      </c>
    </row>
    <row r="6" spans="1:19" x14ac:dyDescent="0.35">
      <c r="B6" s="23" t="s">
        <v>169</v>
      </c>
      <c r="C6" s="22" t="s">
        <v>97</v>
      </c>
      <c r="D6" s="22" t="s">
        <v>168</v>
      </c>
      <c r="E6" s="74" t="s">
        <v>168</v>
      </c>
      <c r="F6" s="31">
        <v>0.2</v>
      </c>
      <c r="G6" s="31">
        <v>0.2</v>
      </c>
      <c r="H6" s="19">
        <f>F6-G6</f>
        <v>0</v>
      </c>
      <c r="I6" s="73"/>
      <c r="J6" s="90"/>
      <c r="K6" s="72"/>
      <c r="L6" s="93">
        <v>0.75</v>
      </c>
      <c r="M6" s="93">
        <v>0.5</v>
      </c>
      <c r="N6" s="93">
        <f>L6-M6</f>
        <v>0.25</v>
      </c>
      <c r="O6" s="88"/>
      <c r="P6" s="68"/>
    </row>
    <row r="7" spans="1:19" x14ac:dyDescent="0.35">
      <c r="B7" s="23"/>
      <c r="C7" s="22" t="s">
        <v>97</v>
      </c>
      <c r="D7" s="21"/>
      <c r="E7" s="74" t="s">
        <v>167</v>
      </c>
      <c r="F7" s="31">
        <v>33.502000000000002</v>
      </c>
      <c r="G7" s="31">
        <v>33.5</v>
      </c>
      <c r="H7" s="19">
        <f>F7-G7</f>
        <v>2.0000000000024443E-3</v>
      </c>
      <c r="I7" s="73"/>
      <c r="J7" s="85"/>
      <c r="K7" s="72"/>
      <c r="L7" s="19">
        <v>0</v>
      </c>
      <c r="M7" s="19">
        <v>0</v>
      </c>
      <c r="N7" s="19">
        <f>L7-M7</f>
        <v>0</v>
      </c>
      <c r="O7" s="73"/>
      <c r="P7" s="68"/>
    </row>
    <row r="8" spans="1:19" x14ac:dyDescent="0.35">
      <c r="B8" s="23"/>
      <c r="C8" s="22" t="s">
        <v>95</v>
      </c>
      <c r="D8" s="21"/>
      <c r="E8" s="74" t="s">
        <v>167</v>
      </c>
      <c r="F8" s="31">
        <v>-148.4</v>
      </c>
      <c r="G8" s="31">
        <v>-149</v>
      </c>
      <c r="H8" s="19">
        <f>F8-G8</f>
        <v>0.59999999999999432</v>
      </c>
      <c r="I8" s="73"/>
      <c r="J8" s="85"/>
      <c r="K8" s="72"/>
      <c r="L8" s="31">
        <v>0</v>
      </c>
      <c r="M8" s="31">
        <v>0</v>
      </c>
      <c r="N8" s="19"/>
      <c r="O8" s="73"/>
      <c r="P8" s="68"/>
    </row>
    <row r="9" spans="1:19" x14ac:dyDescent="0.35">
      <c r="B9" s="23"/>
      <c r="C9" s="22"/>
      <c r="D9" s="21"/>
      <c r="E9" s="74"/>
      <c r="F9" s="31"/>
      <c r="G9" s="31"/>
      <c r="H9" s="19"/>
      <c r="I9" s="73"/>
      <c r="J9" s="92"/>
      <c r="K9" s="72"/>
      <c r="L9" s="71"/>
      <c r="M9" s="71"/>
      <c r="N9" s="91"/>
      <c r="O9" s="69"/>
      <c r="P9" s="68"/>
      <c r="S9" s="44" t="s">
        <v>166</v>
      </c>
    </row>
    <row r="10" spans="1:19" x14ac:dyDescent="0.35">
      <c r="B10" s="23"/>
      <c r="C10" s="22"/>
      <c r="D10" s="149" t="s">
        <v>165</v>
      </c>
      <c r="E10" s="150"/>
      <c r="F10" s="79">
        <f>SUM(F6:F8)</f>
        <v>-114.69800000000001</v>
      </c>
      <c r="G10" s="79">
        <f>SUM(G6:G8)</f>
        <v>-115.3</v>
      </c>
      <c r="H10" s="79">
        <f>SUM(H6:H8)</f>
        <v>0.60199999999999676</v>
      </c>
      <c r="I10" s="88"/>
      <c r="J10" s="90"/>
      <c r="K10" s="72"/>
      <c r="L10" s="79">
        <f>SUM(L6:L8)</f>
        <v>0.75</v>
      </c>
      <c r="M10" s="79">
        <f>SUM(M6:M8)</f>
        <v>0.5</v>
      </c>
      <c r="N10" s="79">
        <f>SUM(N6:N8)</f>
        <v>0.25</v>
      </c>
      <c r="O10" s="88"/>
      <c r="P10" s="90"/>
    </row>
    <row r="11" spans="1:19" x14ac:dyDescent="0.35">
      <c r="B11" s="51"/>
      <c r="C11" s="49"/>
      <c r="D11" s="49"/>
      <c r="E11" s="49"/>
      <c r="F11" s="49"/>
      <c r="G11" s="49"/>
      <c r="H11" s="49"/>
      <c r="I11" s="48"/>
      <c r="J11" s="50"/>
      <c r="K11" s="49"/>
      <c r="L11" s="49"/>
      <c r="M11" s="49"/>
      <c r="N11" s="49"/>
      <c r="O11" s="48"/>
      <c r="P11" s="47"/>
    </row>
    <row r="12" spans="1:19" ht="26" x14ac:dyDescent="0.35">
      <c r="B12" s="23" t="s">
        <v>164</v>
      </c>
      <c r="C12" s="22"/>
      <c r="D12" s="22" t="s">
        <v>163</v>
      </c>
      <c r="E12" s="74" t="s">
        <v>162</v>
      </c>
      <c r="F12" s="31">
        <v>27.8</v>
      </c>
      <c r="G12" s="31">
        <v>25.9</v>
      </c>
      <c r="H12" s="19">
        <f t="shared" ref="H12:H17" si="0">F12-G12</f>
        <v>1.9000000000000021</v>
      </c>
      <c r="I12" s="73"/>
      <c r="J12" s="85"/>
      <c r="K12" s="72"/>
      <c r="L12" s="79">
        <v>911.73800000000006</v>
      </c>
      <c r="M12" s="79">
        <v>567.28099999999995</v>
      </c>
      <c r="N12" s="78">
        <f t="shared" ref="N12:N17" si="1">L12-M12</f>
        <v>344.45700000000011</v>
      </c>
      <c r="O12" s="88">
        <f>N12/M12</f>
        <v>0.60720701028238233</v>
      </c>
      <c r="P12" s="89">
        <v>10</v>
      </c>
    </row>
    <row r="13" spans="1:19" x14ac:dyDescent="0.35">
      <c r="B13" s="23"/>
      <c r="C13" s="22"/>
      <c r="D13" s="21"/>
      <c r="E13" s="74" t="s">
        <v>161</v>
      </c>
      <c r="F13" s="31">
        <v>0</v>
      </c>
      <c r="G13" s="31">
        <v>0</v>
      </c>
      <c r="H13" s="19">
        <f t="shared" si="0"/>
        <v>0</v>
      </c>
      <c r="I13" s="73"/>
      <c r="J13" s="85"/>
      <c r="K13" s="72"/>
      <c r="L13" s="31">
        <v>1464.35</v>
      </c>
      <c r="M13" s="31">
        <v>937.20899999999995</v>
      </c>
      <c r="N13" s="16">
        <f t="shared" si="1"/>
        <v>527.14099999999996</v>
      </c>
      <c r="O13" s="73">
        <f>N13/M13</f>
        <v>0.5624583203959842</v>
      </c>
      <c r="P13" s="89">
        <v>10</v>
      </c>
    </row>
    <row r="14" spans="1:19" x14ac:dyDescent="0.35">
      <c r="B14" s="23"/>
      <c r="C14" s="22"/>
      <c r="D14" s="21"/>
      <c r="E14" s="74" t="s">
        <v>160</v>
      </c>
      <c r="F14" s="31">
        <v>322.36</v>
      </c>
      <c r="G14" s="31">
        <v>322.36</v>
      </c>
      <c r="H14" s="19">
        <f t="shared" si="0"/>
        <v>0</v>
      </c>
      <c r="I14" s="73"/>
      <c r="J14" s="85"/>
      <c r="K14" s="72"/>
      <c r="L14" s="31">
        <v>0</v>
      </c>
      <c r="M14" s="31">
        <v>0</v>
      </c>
      <c r="N14" s="16">
        <f t="shared" si="1"/>
        <v>0</v>
      </c>
      <c r="O14" s="73"/>
      <c r="P14" s="89"/>
    </row>
    <row r="15" spans="1:19" ht="26" x14ac:dyDescent="0.35">
      <c r="B15" s="23"/>
      <c r="C15" s="22"/>
      <c r="D15" s="21"/>
      <c r="E15" s="74" t="s">
        <v>159</v>
      </c>
      <c r="F15" s="31">
        <v>0</v>
      </c>
      <c r="G15" s="31">
        <v>0</v>
      </c>
      <c r="H15" s="19">
        <f t="shared" si="0"/>
        <v>0</v>
      </c>
      <c r="I15" s="73"/>
      <c r="J15" s="85"/>
      <c r="K15" s="72"/>
      <c r="L15" s="31">
        <v>232.54</v>
      </c>
      <c r="M15" s="31">
        <v>232.535</v>
      </c>
      <c r="N15" s="16">
        <f t="shared" si="1"/>
        <v>4.9999999999954525E-3</v>
      </c>
      <c r="O15" s="73"/>
      <c r="P15" s="89"/>
    </row>
    <row r="16" spans="1:19" ht="26" x14ac:dyDescent="0.35">
      <c r="B16" s="23"/>
      <c r="C16" s="22"/>
      <c r="D16" s="21"/>
      <c r="E16" s="74" t="s">
        <v>158</v>
      </c>
      <c r="F16" s="31">
        <v>21.472999999999999</v>
      </c>
      <c r="G16" s="31">
        <v>28.399000000000001</v>
      </c>
      <c r="H16" s="19">
        <f t="shared" si="0"/>
        <v>-6.9260000000000019</v>
      </c>
      <c r="I16" s="73"/>
      <c r="J16" s="85"/>
      <c r="K16" s="72"/>
      <c r="L16" s="31">
        <v>7.35</v>
      </c>
      <c r="M16" s="31">
        <v>11.250999999999999</v>
      </c>
      <c r="N16" s="16">
        <f t="shared" si="1"/>
        <v>-3.9009999999999998</v>
      </c>
      <c r="O16" s="73">
        <f>N16/M16</f>
        <v>-0.34672473557905964</v>
      </c>
      <c r="P16" s="89">
        <v>10</v>
      </c>
    </row>
    <row r="17" spans="2:16" x14ac:dyDescent="0.35">
      <c r="B17" s="23"/>
      <c r="C17" s="22"/>
      <c r="D17" s="21"/>
      <c r="E17" s="74" t="s">
        <v>157</v>
      </c>
      <c r="F17" s="31">
        <f>0.3+0.125</f>
        <v>0.42499999999999999</v>
      </c>
      <c r="G17" s="31">
        <v>0.42499999999999999</v>
      </c>
      <c r="H17" s="19">
        <f t="shared" si="0"/>
        <v>0</v>
      </c>
      <c r="I17" s="73"/>
      <c r="J17" s="85"/>
      <c r="K17" s="72"/>
      <c r="L17" s="31">
        <v>0.45900000000000002</v>
      </c>
      <c r="M17" s="31">
        <v>0.45900000000000002</v>
      </c>
      <c r="N17" s="16">
        <f t="shared" si="1"/>
        <v>0</v>
      </c>
      <c r="O17" s="73"/>
      <c r="P17" s="68"/>
    </row>
    <row r="18" spans="2:16" x14ac:dyDescent="0.35">
      <c r="B18" s="23"/>
      <c r="C18" s="22"/>
      <c r="D18" s="21"/>
      <c r="E18" s="74"/>
      <c r="F18" s="31"/>
      <c r="G18" s="31"/>
      <c r="H18" s="19"/>
      <c r="I18" s="73"/>
      <c r="J18" s="85"/>
      <c r="K18" s="72"/>
      <c r="L18" s="71"/>
      <c r="M18" s="71"/>
      <c r="N18" s="70"/>
      <c r="O18" s="69"/>
      <c r="P18" s="68"/>
    </row>
    <row r="19" spans="2:16" x14ac:dyDescent="0.35">
      <c r="B19" s="13"/>
      <c r="C19" s="12"/>
      <c r="D19" s="144" t="s">
        <v>50</v>
      </c>
      <c r="E19" s="145"/>
      <c r="F19" s="9">
        <f>SUM(F12:F17)</f>
        <v>372.05800000000005</v>
      </c>
      <c r="G19" s="9">
        <f>SUM(G12:G17)</f>
        <v>377.084</v>
      </c>
      <c r="H19" s="9">
        <f>SUM(H12:H17)</f>
        <v>-5.0259999999999998</v>
      </c>
      <c r="I19" s="8"/>
      <c r="J19" s="63"/>
      <c r="K19" s="64"/>
      <c r="L19" s="9">
        <f>SUM(L12:L17)</f>
        <v>2616.4369999999994</v>
      </c>
      <c r="M19" s="9">
        <f>SUM(M12:M17)</f>
        <v>1748.7349999999999</v>
      </c>
      <c r="N19" s="9">
        <f>SUM(N12:N17)</f>
        <v>867.70200000000011</v>
      </c>
      <c r="O19" s="8">
        <f>N19/M19</f>
        <v>0.49618838760589806</v>
      </c>
      <c r="P19" s="66">
        <v>10</v>
      </c>
    </row>
    <row r="20" spans="2:16" x14ac:dyDescent="0.35">
      <c r="B20" s="51"/>
      <c r="C20" s="49"/>
      <c r="D20" s="49"/>
      <c r="E20" s="49"/>
      <c r="F20" s="49"/>
      <c r="G20" s="49"/>
      <c r="H20" s="49"/>
      <c r="I20" s="48"/>
      <c r="J20" s="50"/>
      <c r="K20" s="49"/>
      <c r="L20" s="49"/>
      <c r="M20" s="49"/>
      <c r="N20" s="49"/>
      <c r="O20" s="48"/>
      <c r="P20" s="47"/>
    </row>
    <row r="21" spans="2:16" ht="26" x14ac:dyDescent="0.35">
      <c r="B21" s="23" t="s">
        <v>156</v>
      </c>
      <c r="C21" s="21"/>
      <c r="D21" s="22" t="s">
        <v>35</v>
      </c>
      <c r="E21" s="58" t="s">
        <v>155</v>
      </c>
      <c r="F21" s="31">
        <v>44</v>
      </c>
      <c r="G21" s="31">
        <v>43.917000000000002</v>
      </c>
      <c r="H21" s="19">
        <f>F21-G21</f>
        <v>8.2999999999998408E-2</v>
      </c>
      <c r="I21" s="73"/>
      <c r="J21" s="38"/>
      <c r="K21" s="55"/>
      <c r="L21" s="79"/>
      <c r="M21" s="79"/>
      <c r="N21" s="79"/>
      <c r="O21" s="88"/>
      <c r="P21" s="75"/>
    </row>
    <row r="22" spans="2:16" ht="26" x14ac:dyDescent="0.35">
      <c r="B22" s="23"/>
      <c r="C22" s="22"/>
      <c r="D22" s="21"/>
      <c r="E22" s="74" t="s">
        <v>154</v>
      </c>
      <c r="F22" s="31">
        <v>1181</v>
      </c>
      <c r="G22" s="31">
        <v>806.14700000000005</v>
      </c>
      <c r="H22" s="19">
        <f>F22-G22</f>
        <v>374.85299999999995</v>
      </c>
      <c r="I22" s="73"/>
      <c r="J22" s="85"/>
      <c r="K22" s="72"/>
      <c r="L22" s="31"/>
      <c r="M22" s="31"/>
      <c r="N22" s="16"/>
      <c r="O22" s="73"/>
      <c r="P22" s="68"/>
    </row>
    <row r="23" spans="2:16" x14ac:dyDescent="0.35">
      <c r="B23" s="23"/>
      <c r="C23" s="22"/>
      <c r="D23" s="21"/>
      <c r="E23" s="74" t="s">
        <v>153</v>
      </c>
      <c r="F23" s="31">
        <v>0</v>
      </c>
      <c r="G23" s="31">
        <v>206.43100000000001</v>
      </c>
      <c r="H23" s="19">
        <f>F23-G23</f>
        <v>-206.43100000000001</v>
      </c>
      <c r="I23" s="73"/>
      <c r="J23" s="25"/>
      <c r="K23" s="72"/>
      <c r="L23" s="31"/>
      <c r="M23" s="31"/>
      <c r="N23" s="16"/>
      <c r="O23" s="73"/>
      <c r="P23" s="68"/>
    </row>
    <row r="24" spans="2:16" x14ac:dyDescent="0.35">
      <c r="B24" s="23"/>
      <c r="C24" s="22"/>
      <c r="D24" s="21"/>
      <c r="E24" s="74" t="s">
        <v>152</v>
      </c>
      <c r="F24" s="31">
        <v>0</v>
      </c>
      <c r="G24" s="31">
        <v>106.12</v>
      </c>
      <c r="H24" s="19">
        <f>F24-G24</f>
        <v>-106.12</v>
      </c>
      <c r="I24" s="73"/>
      <c r="J24" s="25"/>
      <c r="K24" s="72"/>
      <c r="L24" s="31"/>
      <c r="M24" s="31"/>
      <c r="N24" s="16"/>
      <c r="O24" s="73"/>
      <c r="P24" s="68"/>
    </row>
    <row r="25" spans="2:16" ht="26" x14ac:dyDescent="0.35">
      <c r="B25" s="23"/>
      <c r="C25" s="22"/>
      <c r="D25" s="21"/>
      <c r="E25" s="74" t="s">
        <v>151</v>
      </c>
      <c r="F25" s="31">
        <v>1515</v>
      </c>
      <c r="G25" s="31">
        <v>1570.52</v>
      </c>
      <c r="H25" s="19">
        <f>F25-G25</f>
        <v>-55.519999999999982</v>
      </c>
      <c r="I25" s="73"/>
      <c r="J25" s="25"/>
      <c r="K25" s="72"/>
      <c r="L25" s="31"/>
      <c r="M25" s="31"/>
      <c r="N25" s="16"/>
      <c r="O25" s="73"/>
      <c r="P25" s="68"/>
    </row>
    <row r="26" spans="2:16" ht="18.649999999999999" customHeight="1" x14ac:dyDescent="0.35">
      <c r="B26" s="23"/>
      <c r="C26" s="22"/>
      <c r="D26" s="21"/>
      <c r="E26" s="74" t="s">
        <v>150</v>
      </c>
      <c r="F26" s="31"/>
      <c r="G26" s="31"/>
      <c r="H26" s="19"/>
      <c r="I26" s="73"/>
      <c r="J26" s="85"/>
      <c r="K26" s="72"/>
      <c r="L26" s="71">
        <v>3831</v>
      </c>
      <c r="M26" s="71">
        <v>3214.5569999999998</v>
      </c>
      <c r="N26" s="70">
        <f>L26-M26</f>
        <v>616.44300000000021</v>
      </c>
      <c r="O26" s="69">
        <f>N26/M26</f>
        <v>0.19176608160937891</v>
      </c>
      <c r="P26" s="89">
        <v>11</v>
      </c>
    </row>
    <row r="27" spans="2:16" x14ac:dyDescent="0.35">
      <c r="B27" s="13"/>
      <c r="C27" s="12"/>
      <c r="D27" s="144" t="s">
        <v>50</v>
      </c>
      <c r="E27" s="145"/>
      <c r="F27" s="9">
        <f>SUM(F21:F26)</f>
        <v>2740</v>
      </c>
      <c r="G27" s="9">
        <f>SUM(G21:G26)</f>
        <v>2733.1350000000002</v>
      </c>
      <c r="H27" s="9">
        <f>SUM(H21:H26)</f>
        <v>6.8649999999999238</v>
      </c>
      <c r="I27" s="8">
        <f>H27/G27</f>
        <v>2.5117676221627994E-3</v>
      </c>
      <c r="J27" s="63"/>
      <c r="K27" s="64"/>
      <c r="L27" s="9">
        <f>SUM(L21:L26)</f>
        <v>3831</v>
      </c>
      <c r="M27" s="9">
        <f>SUM(M21:M26)</f>
        <v>3214.5569999999998</v>
      </c>
      <c r="N27" s="9">
        <f>SUM(N21:N26)</f>
        <v>616.44300000000021</v>
      </c>
      <c r="O27" s="8">
        <f>N27/M27</f>
        <v>0.19176608160937891</v>
      </c>
      <c r="P27" s="66">
        <v>11</v>
      </c>
    </row>
    <row r="28" spans="2:16" x14ac:dyDescent="0.35">
      <c r="B28" s="51"/>
      <c r="C28" s="49"/>
      <c r="D28" s="49"/>
      <c r="E28" s="49"/>
      <c r="F28" s="49"/>
      <c r="G28" s="49"/>
      <c r="H28" s="49"/>
      <c r="I28" s="48"/>
      <c r="J28" s="50"/>
      <c r="K28" s="49"/>
      <c r="L28" s="49"/>
      <c r="M28" s="49"/>
      <c r="N28" s="49"/>
      <c r="O28" s="48"/>
      <c r="P28" s="47"/>
    </row>
    <row r="29" spans="2:16" ht="26" x14ac:dyDescent="0.35">
      <c r="B29" s="23" t="s">
        <v>149</v>
      </c>
      <c r="C29" s="21"/>
      <c r="D29" s="22" t="s">
        <v>31</v>
      </c>
      <c r="E29" s="58" t="s">
        <v>148</v>
      </c>
      <c r="F29" s="31">
        <v>6.62</v>
      </c>
      <c r="G29" s="31">
        <v>5.7279999999999998</v>
      </c>
      <c r="H29" s="19">
        <f>F29-G29</f>
        <v>0.89200000000000035</v>
      </c>
      <c r="I29" s="73"/>
      <c r="J29" s="65"/>
      <c r="K29" s="55"/>
      <c r="L29" s="79">
        <v>0.5</v>
      </c>
      <c r="M29" s="79"/>
      <c r="N29" s="79"/>
      <c r="O29" s="88"/>
      <c r="P29" s="76"/>
    </row>
    <row r="30" spans="2:16" x14ac:dyDescent="0.35">
      <c r="B30" s="23"/>
      <c r="C30" s="22" t="s">
        <v>97</v>
      </c>
      <c r="D30" s="21"/>
      <c r="E30" s="74" t="s">
        <v>30</v>
      </c>
      <c r="F30" s="31">
        <v>32.47</v>
      </c>
      <c r="G30" s="31">
        <v>537.51900000000001</v>
      </c>
      <c r="H30" s="19">
        <f>F30-G30</f>
        <v>-505.04899999999998</v>
      </c>
      <c r="I30" s="73">
        <f>H30/G30</f>
        <v>-0.93959283299753116</v>
      </c>
      <c r="J30" s="25">
        <v>1</v>
      </c>
      <c r="K30" s="72"/>
      <c r="L30" s="31"/>
      <c r="M30" s="31"/>
      <c r="N30" s="16"/>
      <c r="O30" s="73"/>
      <c r="P30" s="89"/>
    </row>
    <row r="31" spans="2:16" x14ac:dyDescent="0.35">
      <c r="B31" s="23"/>
      <c r="C31" s="22"/>
      <c r="D31" s="21"/>
      <c r="E31" s="74" t="s">
        <v>29</v>
      </c>
      <c r="F31" s="31">
        <v>5.9930000000000003</v>
      </c>
      <c r="G31" s="31">
        <v>8.9789999999999992</v>
      </c>
      <c r="H31" s="19">
        <f>F31-G31</f>
        <v>-2.9859999999999989</v>
      </c>
      <c r="I31" s="73"/>
      <c r="J31" s="25"/>
      <c r="K31" s="72"/>
      <c r="L31" s="31">
        <v>16.3</v>
      </c>
      <c r="M31" s="31">
        <v>13.551</v>
      </c>
      <c r="N31" s="16">
        <f>L31-M31</f>
        <v>2.7490000000000006</v>
      </c>
      <c r="O31" s="73">
        <f>N31/M31</f>
        <v>0.20286325732418276</v>
      </c>
      <c r="P31" s="89">
        <v>12</v>
      </c>
    </row>
    <row r="32" spans="2:16" x14ac:dyDescent="0.35">
      <c r="B32" s="23"/>
      <c r="C32" s="22" t="s">
        <v>95</v>
      </c>
      <c r="D32" s="21"/>
      <c r="E32" s="74" t="s">
        <v>30</v>
      </c>
      <c r="F32" s="31">
        <v>-70.450999999999993</v>
      </c>
      <c r="G32" s="31">
        <v>-345.637</v>
      </c>
      <c r="H32" s="19">
        <f>F32-G32</f>
        <v>275.18600000000004</v>
      </c>
      <c r="I32" s="73">
        <f>H32/G32</f>
        <v>-0.7961705488706361</v>
      </c>
      <c r="J32" s="25">
        <v>1</v>
      </c>
      <c r="K32" s="72"/>
      <c r="L32" s="31"/>
      <c r="M32" s="31"/>
      <c r="N32" s="16"/>
      <c r="O32" s="73"/>
      <c r="P32" s="89"/>
    </row>
    <row r="33" spans="2:16" x14ac:dyDescent="0.35">
      <c r="B33" s="23"/>
      <c r="C33" s="22"/>
      <c r="D33" s="21"/>
      <c r="E33" s="74" t="s">
        <v>147</v>
      </c>
      <c r="F33" s="31">
        <v>0</v>
      </c>
      <c r="G33" s="31">
        <v>-34.540999999999997</v>
      </c>
      <c r="H33" s="19">
        <f>F33-G33</f>
        <v>34.540999999999997</v>
      </c>
      <c r="I33" s="73">
        <f>H33/G33</f>
        <v>-1</v>
      </c>
      <c r="J33" s="25">
        <v>1</v>
      </c>
      <c r="K33" s="72"/>
      <c r="L33" s="71">
        <v>83</v>
      </c>
      <c r="M33" s="71">
        <v>203.44</v>
      </c>
      <c r="N33" s="71">
        <f>L33-M33</f>
        <v>-120.44</v>
      </c>
      <c r="O33" s="69">
        <f>N33/M33</f>
        <v>-0.59201730239874162</v>
      </c>
      <c r="P33" s="89">
        <v>12</v>
      </c>
    </row>
    <row r="34" spans="2:16" x14ac:dyDescent="0.35">
      <c r="B34" s="13"/>
      <c r="C34" s="12"/>
      <c r="D34" s="144" t="s">
        <v>50</v>
      </c>
      <c r="E34" s="145"/>
      <c r="F34" s="9">
        <f>SUM(F29:F33)</f>
        <v>-25.367999999999995</v>
      </c>
      <c r="G34" s="9">
        <f>SUM(G29:G33)</f>
        <v>172.048</v>
      </c>
      <c r="H34" s="9">
        <f>SUM(H29:H33)</f>
        <v>-197.41599999999994</v>
      </c>
      <c r="I34" s="8">
        <f>H34/G34</f>
        <v>-1.1474472240305027</v>
      </c>
      <c r="J34" s="66">
        <v>1</v>
      </c>
      <c r="K34" s="64"/>
      <c r="L34" s="9">
        <f>SUM(L29:L33)</f>
        <v>99.8</v>
      </c>
      <c r="M34" s="9">
        <f>SUM(M29:M33)</f>
        <v>216.99099999999999</v>
      </c>
      <c r="N34" s="16">
        <f>L34-M34</f>
        <v>-117.19099999999999</v>
      </c>
      <c r="O34" s="8">
        <f>N34/M34</f>
        <v>-0.54007309058901054</v>
      </c>
      <c r="P34" s="66">
        <v>12</v>
      </c>
    </row>
    <row r="35" spans="2:16" x14ac:dyDescent="0.35">
      <c r="B35" s="51"/>
      <c r="C35" s="49"/>
      <c r="D35" s="49"/>
      <c r="E35" s="49"/>
      <c r="F35" s="49"/>
      <c r="G35" s="49"/>
      <c r="H35" s="49"/>
      <c r="I35" s="48"/>
      <c r="J35" s="50"/>
      <c r="K35" s="49"/>
      <c r="L35" s="49"/>
      <c r="M35" s="49"/>
      <c r="N35" s="49"/>
      <c r="O35" s="48"/>
      <c r="P35" s="47"/>
    </row>
    <row r="36" spans="2:16" ht="26" x14ac:dyDescent="0.35">
      <c r="B36" s="23" t="s">
        <v>146</v>
      </c>
      <c r="C36" s="21" t="s">
        <v>97</v>
      </c>
      <c r="D36" s="22" t="s">
        <v>27</v>
      </c>
      <c r="E36" s="58" t="s">
        <v>145</v>
      </c>
      <c r="F36" s="31">
        <v>2.9910000000000001</v>
      </c>
      <c r="G36" s="31">
        <v>2.6407932600000001</v>
      </c>
      <c r="H36" s="19">
        <f t="shared" ref="H36:H49" si="2">F36-G36</f>
        <v>0.35020673999999996</v>
      </c>
      <c r="I36" s="73">
        <f t="shared" ref="I36:I49" si="3">H36/G36</f>
        <v>0.13261422062248066</v>
      </c>
      <c r="J36" s="38"/>
      <c r="K36" s="55"/>
      <c r="L36" s="79"/>
      <c r="M36" s="79"/>
      <c r="N36" s="78"/>
      <c r="O36" s="88"/>
      <c r="P36" s="76"/>
    </row>
    <row r="37" spans="2:16" ht="26" x14ac:dyDescent="0.35">
      <c r="B37" s="23"/>
      <c r="C37" s="21" t="s">
        <v>95</v>
      </c>
      <c r="D37" s="22"/>
      <c r="E37" s="58" t="s">
        <v>145</v>
      </c>
      <c r="F37" s="31">
        <v>-8.3723273799999998</v>
      </c>
      <c r="G37" s="31">
        <v>-8.3723273799999998</v>
      </c>
      <c r="H37" s="19">
        <f t="shared" si="2"/>
        <v>0</v>
      </c>
      <c r="I37" s="73"/>
      <c r="J37" s="38"/>
      <c r="K37" s="55"/>
      <c r="L37" s="31"/>
      <c r="M37" s="31"/>
      <c r="N37" s="16"/>
      <c r="O37" s="73"/>
      <c r="P37" s="76"/>
    </row>
    <row r="38" spans="2:16" ht="26" x14ac:dyDescent="0.35">
      <c r="B38" s="23"/>
      <c r="C38" s="21" t="s">
        <v>97</v>
      </c>
      <c r="D38" s="22"/>
      <c r="E38" s="58" t="s">
        <v>26</v>
      </c>
      <c r="F38" s="31">
        <v>313.38600000000002</v>
      </c>
      <c r="G38" s="31">
        <v>303.39999999999998</v>
      </c>
      <c r="H38" s="19">
        <f t="shared" si="2"/>
        <v>9.9860000000000468</v>
      </c>
      <c r="I38" s="73">
        <f t="shared" si="3"/>
        <v>3.2913645352669899E-2</v>
      </c>
      <c r="J38" s="38"/>
      <c r="K38" s="55"/>
      <c r="L38" s="31"/>
      <c r="M38" s="31"/>
      <c r="N38" s="16"/>
      <c r="O38" s="73"/>
      <c r="P38" s="76"/>
    </row>
    <row r="39" spans="2:16" ht="26" x14ac:dyDescent="0.35">
      <c r="B39" s="23"/>
      <c r="C39" s="21" t="s">
        <v>95</v>
      </c>
      <c r="D39" s="22"/>
      <c r="E39" s="58" t="s">
        <v>26</v>
      </c>
      <c r="F39" s="31">
        <v>-299.99</v>
      </c>
      <c r="G39" s="31">
        <v>-288.39999999999998</v>
      </c>
      <c r="H39" s="19">
        <f t="shared" si="2"/>
        <v>-11.590000000000032</v>
      </c>
      <c r="I39" s="73">
        <f t="shared" si="3"/>
        <v>4.0187239944521613E-2</v>
      </c>
      <c r="J39" s="38"/>
      <c r="K39" s="55"/>
      <c r="L39" s="31"/>
      <c r="M39" s="31"/>
      <c r="N39" s="16"/>
      <c r="O39" s="73"/>
      <c r="P39" s="76"/>
    </row>
    <row r="40" spans="2:16" x14ac:dyDescent="0.35">
      <c r="B40" s="23"/>
      <c r="C40" s="21"/>
      <c r="D40" s="22"/>
      <c r="E40" s="58" t="s">
        <v>144</v>
      </c>
      <c r="F40" s="31">
        <v>27.2</v>
      </c>
      <c r="G40" s="31">
        <v>26.4</v>
      </c>
      <c r="H40" s="19">
        <f t="shared" si="2"/>
        <v>0.80000000000000071</v>
      </c>
      <c r="I40" s="73"/>
      <c r="J40" s="38"/>
      <c r="K40" s="55"/>
      <c r="L40" s="31">
        <v>49.8</v>
      </c>
      <c r="M40" s="31">
        <v>44.264000000000003</v>
      </c>
      <c r="N40" s="16">
        <f t="shared" ref="N40:N51" si="4">L40-M40</f>
        <v>5.5359999999999943</v>
      </c>
      <c r="O40" s="73"/>
      <c r="P40" s="76"/>
    </row>
    <row r="41" spans="2:16" ht="26" x14ac:dyDescent="0.35">
      <c r="B41" s="23"/>
      <c r="C41" s="21"/>
      <c r="D41" s="22"/>
      <c r="E41" s="58" t="s">
        <v>143</v>
      </c>
      <c r="F41" s="31">
        <v>0.84699999999999998</v>
      </c>
      <c r="G41" s="31">
        <v>0.83099999999999996</v>
      </c>
      <c r="H41" s="19">
        <f t="shared" si="2"/>
        <v>1.6000000000000014E-2</v>
      </c>
      <c r="I41" s="73"/>
      <c r="J41" s="65"/>
      <c r="K41" s="55"/>
      <c r="L41" s="31">
        <v>0</v>
      </c>
      <c r="M41" s="31">
        <v>8.2000000000000003E-2</v>
      </c>
      <c r="N41" s="16">
        <f t="shared" si="4"/>
        <v>-8.2000000000000003E-2</v>
      </c>
      <c r="O41" s="73"/>
      <c r="P41" s="76"/>
    </row>
    <row r="42" spans="2:16" x14ac:dyDescent="0.35">
      <c r="B42" s="23"/>
      <c r="C42" s="21"/>
      <c r="D42" s="22"/>
      <c r="E42" s="58" t="s">
        <v>25</v>
      </c>
      <c r="F42" s="31">
        <v>13.706</v>
      </c>
      <c r="G42" s="31">
        <v>13.702999999999999</v>
      </c>
      <c r="H42" s="19">
        <f t="shared" si="2"/>
        <v>3.0000000000001137E-3</v>
      </c>
      <c r="I42" s="73"/>
      <c r="J42" s="65"/>
      <c r="K42" s="55"/>
      <c r="L42" s="31"/>
      <c r="M42" s="31"/>
      <c r="N42" s="16">
        <f t="shared" si="4"/>
        <v>0</v>
      </c>
      <c r="O42" s="73"/>
      <c r="P42" s="76"/>
    </row>
    <row r="43" spans="2:16" ht="26" x14ac:dyDescent="0.35">
      <c r="B43" s="23"/>
      <c r="C43" s="21"/>
      <c r="D43" s="22"/>
      <c r="E43" s="58" t="s">
        <v>142</v>
      </c>
      <c r="F43" s="31">
        <f>-389.089+3.287+0.423</f>
        <v>-385.37900000000002</v>
      </c>
      <c r="G43" s="31">
        <f>-39.843</f>
        <v>-39.843000000000004</v>
      </c>
      <c r="H43" s="19">
        <f t="shared" si="2"/>
        <v>-345.536</v>
      </c>
      <c r="I43" s="73">
        <f t="shared" si="3"/>
        <v>8.6724393243480655</v>
      </c>
      <c r="J43" s="65" t="s">
        <v>136</v>
      </c>
      <c r="K43" s="55"/>
      <c r="L43" s="31">
        <v>37.4</v>
      </c>
      <c r="M43" s="31">
        <v>22.923999999999999</v>
      </c>
      <c r="N43" s="16">
        <f t="shared" si="4"/>
        <v>14.475999999999999</v>
      </c>
      <c r="O43" s="73"/>
      <c r="P43" s="76"/>
    </row>
    <row r="44" spans="2:16" ht="26" x14ac:dyDescent="0.35">
      <c r="B44" s="23"/>
      <c r="C44" s="21"/>
      <c r="D44" s="22"/>
      <c r="E44" s="58" t="s">
        <v>24</v>
      </c>
      <c r="F44" s="31">
        <v>0.53900000000000003</v>
      </c>
      <c r="G44" s="31">
        <v>0.61699999999999999</v>
      </c>
      <c r="H44" s="19">
        <f t="shared" si="2"/>
        <v>-7.7999999999999958E-2</v>
      </c>
      <c r="I44" s="73"/>
      <c r="J44" s="65"/>
      <c r="K44" s="55"/>
      <c r="L44" s="31">
        <v>0.9</v>
      </c>
      <c r="M44" s="31">
        <v>0.83699999999999997</v>
      </c>
      <c r="N44" s="16">
        <f t="shared" si="4"/>
        <v>6.3000000000000056E-2</v>
      </c>
      <c r="O44" s="73"/>
      <c r="P44" s="76"/>
    </row>
    <row r="45" spans="2:16" x14ac:dyDescent="0.35">
      <c r="B45" s="23"/>
      <c r="C45" s="21"/>
      <c r="D45" s="22"/>
      <c r="E45" s="58" t="s">
        <v>141</v>
      </c>
      <c r="F45" s="31">
        <v>0.66900000000000004</v>
      </c>
      <c r="G45" s="31">
        <v>1.57</v>
      </c>
      <c r="H45" s="19">
        <f t="shared" si="2"/>
        <v>-0.90100000000000002</v>
      </c>
      <c r="I45" s="73"/>
      <c r="J45" s="65"/>
      <c r="K45" s="55"/>
      <c r="L45" s="31">
        <v>1.1859999999999999</v>
      </c>
      <c r="M45" s="31">
        <v>0.14000000000000001</v>
      </c>
      <c r="N45" s="16">
        <f t="shared" si="4"/>
        <v>1.0459999999999998</v>
      </c>
      <c r="O45" s="73"/>
      <c r="P45" s="76"/>
    </row>
    <row r="46" spans="2:16" x14ac:dyDescent="0.35">
      <c r="B46" s="23"/>
      <c r="C46" s="21" t="s">
        <v>97</v>
      </c>
      <c r="D46" s="22"/>
      <c r="E46" s="58" t="s">
        <v>140</v>
      </c>
      <c r="F46" s="31">
        <v>46.052</v>
      </c>
      <c r="G46" s="31">
        <v>46.052</v>
      </c>
      <c r="H46" s="19">
        <f t="shared" si="2"/>
        <v>0</v>
      </c>
      <c r="I46" s="73"/>
      <c r="J46" s="65"/>
      <c r="K46" s="55"/>
      <c r="L46" s="31">
        <v>0</v>
      </c>
      <c r="M46" s="31">
        <v>0</v>
      </c>
      <c r="N46" s="16">
        <f t="shared" si="4"/>
        <v>0</v>
      </c>
      <c r="O46" s="73"/>
      <c r="P46" s="76"/>
    </row>
    <row r="47" spans="2:16" x14ac:dyDescent="0.35">
      <c r="B47" s="23"/>
      <c r="C47" s="21" t="s">
        <v>95</v>
      </c>
      <c r="D47" s="22"/>
      <c r="E47" s="58" t="s">
        <v>140</v>
      </c>
      <c r="F47" s="31">
        <v>-54.387</v>
      </c>
      <c r="G47" s="31">
        <v>-54.387</v>
      </c>
      <c r="H47" s="19">
        <f t="shared" si="2"/>
        <v>0</v>
      </c>
      <c r="I47" s="73"/>
      <c r="J47" s="65"/>
      <c r="K47" s="55"/>
      <c r="L47" s="31">
        <v>0</v>
      </c>
      <c r="M47" s="31">
        <v>0</v>
      </c>
      <c r="N47" s="16">
        <f t="shared" si="4"/>
        <v>0</v>
      </c>
      <c r="O47" s="73"/>
      <c r="P47" s="76"/>
    </row>
    <row r="48" spans="2:16" ht="26" x14ac:dyDescent="0.35">
      <c r="B48" s="23"/>
      <c r="C48" s="21" t="s">
        <v>97</v>
      </c>
      <c r="D48" s="22"/>
      <c r="E48" s="58" t="s">
        <v>139</v>
      </c>
      <c r="F48" s="31">
        <v>1.5</v>
      </c>
      <c r="G48" s="31">
        <v>1.6126239400000002</v>
      </c>
      <c r="H48" s="19">
        <f t="shared" si="2"/>
        <v>-0.1126239400000002</v>
      </c>
      <c r="I48" s="73">
        <f t="shared" si="3"/>
        <v>-6.9838935914594072E-2</v>
      </c>
      <c r="J48" s="65"/>
      <c r="K48" s="55"/>
      <c r="L48" s="31">
        <v>1.46</v>
      </c>
      <c r="M48" s="31">
        <v>28.294</v>
      </c>
      <c r="N48" s="16">
        <f t="shared" si="4"/>
        <v>-26.834</v>
      </c>
      <c r="O48" s="73"/>
      <c r="P48" s="76"/>
    </row>
    <row r="49" spans="2:18" ht="26" x14ac:dyDescent="0.35">
      <c r="B49" s="23"/>
      <c r="C49" s="21" t="s">
        <v>95</v>
      </c>
      <c r="D49" s="22"/>
      <c r="E49" s="58" t="s">
        <v>139</v>
      </c>
      <c r="F49" s="31">
        <v>0</v>
      </c>
      <c r="G49" s="31">
        <v>-10</v>
      </c>
      <c r="H49" s="19">
        <f t="shared" si="2"/>
        <v>10</v>
      </c>
      <c r="I49" s="73">
        <f t="shared" si="3"/>
        <v>-1</v>
      </c>
      <c r="J49" s="65" t="s">
        <v>136</v>
      </c>
      <c r="K49" s="55"/>
      <c r="L49" s="31">
        <v>0</v>
      </c>
      <c r="M49" s="31">
        <v>0</v>
      </c>
      <c r="N49" s="16">
        <f t="shared" si="4"/>
        <v>0</v>
      </c>
      <c r="O49" s="73"/>
      <c r="P49" s="76"/>
    </row>
    <row r="50" spans="2:18" x14ac:dyDescent="0.35">
      <c r="B50" s="23"/>
      <c r="C50" s="21"/>
      <c r="D50" s="22"/>
      <c r="E50" s="58" t="s">
        <v>138</v>
      </c>
      <c r="F50" s="31">
        <v>18.686</v>
      </c>
      <c r="G50" s="31"/>
      <c r="H50" s="19"/>
      <c r="I50" s="73"/>
      <c r="J50" s="65"/>
      <c r="K50" s="55"/>
      <c r="L50" s="31"/>
      <c r="M50" s="31"/>
      <c r="N50" s="16">
        <f t="shared" si="4"/>
        <v>0</v>
      </c>
      <c r="O50" s="73"/>
      <c r="P50" s="76"/>
    </row>
    <row r="51" spans="2:18" x14ac:dyDescent="0.35">
      <c r="B51" s="23"/>
      <c r="C51" s="21"/>
      <c r="D51" s="22"/>
      <c r="E51" s="58" t="s">
        <v>137</v>
      </c>
      <c r="F51" s="31">
        <v>0</v>
      </c>
      <c r="G51" s="31">
        <v>2.508</v>
      </c>
      <c r="H51" s="19">
        <f>F51-G51</f>
        <v>-2.508</v>
      </c>
      <c r="I51" s="73"/>
      <c r="J51" s="65"/>
      <c r="K51" s="55"/>
      <c r="L51" s="71">
        <f>3.005+10</f>
        <v>13.004999999999999</v>
      </c>
      <c r="M51" s="71">
        <v>1.655</v>
      </c>
      <c r="N51" s="16">
        <f t="shared" si="4"/>
        <v>11.35</v>
      </c>
      <c r="O51" s="69"/>
      <c r="P51" s="76"/>
    </row>
    <row r="52" spans="2:18" ht="26" x14ac:dyDescent="0.35">
      <c r="B52" s="13"/>
      <c r="C52" s="12"/>
      <c r="D52" s="144" t="s">
        <v>50</v>
      </c>
      <c r="E52" s="145"/>
      <c r="F52" s="9">
        <f>SUM(F36:F51)</f>
        <v>-322.55232738000007</v>
      </c>
      <c r="G52" s="9">
        <f>SUM(G36:G51)</f>
        <v>-1.6679101799999936</v>
      </c>
      <c r="H52" s="9">
        <f>F52-G52</f>
        <v>-320.88441720000009</v>
      </c>
      <c r="I52" s="8">
        <f>H52/G52</f>
        <v>192.38710875905878</v>
      </c>
      <c r="J52" s="66" t="s">
        <v>136</v>
      </c>
      <c r="K52" s="64"/>
      <c r="L52" s="9">
        <f>SUM(L36:L51)</f>
        <v>103.75099999999999</v>
      </c>
      <c r="M52" s="9">
        <f>SUM(M36:M51)</f>
        <v>98.196000000000012</v>
      </c>
      <c r="N52" s="9">
        <f>L52-M52</f>
        <v>5.5549999999999784</v>
      </c>
      <c r="O52" s="8">
        <f>N52/M52</f>
        <v>5.6570532404578371E-2</v>
      </c>
      <c r="P52" s="63"/>
    </row>
    <row r="53" spans="2:18" x14ac:dyDescent="0.35">
      <c r="B53" s="51"/>
      <c r="C53" s="49"/>
      <c r="D53" s="49"/>
      <c r="E53" s="49"/>
      <c r="F53" s="49">
        <v>322.553</v>
      </c>
      <c r="G53" s="49"/>
      <c r="H53" s="49"/>
      <c r="I53" s="48"/>
      <c r="J53" s="50"/>
      <c r="K53" s="49"/>
      <c r="L53" s="49"/>
      <c r="M53" s="49"/>
      <c r="N53" s="49"/>
      <c r="O53" s="48"/>
      <c r="P53" s="47"/>
    </row>
    <row r="54" spans="2:18" ht="26" x14ac:dyDescent="0.35">
      <c r="B54" s="23" t="s">
        <v>135</v>
      </c>
      <c r="C54" s="21"/>
      <c r="D54" s="22" t="s">
        <v>134</v>
      </c>
      <c r="E54" s="58" t="s">
        <v>133</v>
      </c>
      <c r="F54" s="31">
        <v>34.902999999999999</v>
      </c>
      <c r="G54" s="31">
        <v>50.320132910000005</v>
      </c>
      <c r="H54" s="19">
        <f t="shared" ref="H54:H60" si="5">F54-G54</f>
        <v>-15.417132910000007</v>
      </c>
      <c r="I54" s="73"/>
      <c r="J54" s="65"/>
      <c r="K54" s="55"/>
      <c r="L54" s="16">
        <v>612.88300000000004</v>
      </c>
      <c r="M54" s="16">
        <v>466.07</v>
      </c>
      <c r="N54" s="16">
        <f t="shared" ref="N54:N60" si="6">L54-M54</f>
        <v>146.81300000000005</v>
      </c>
      <c r="O54" s="73">
        <f>N54/M54</f>
        <v>0.31500203832042406</v>
      </c>
      <c r="P54" s="87">
        <v>13</v>
      </c>
    </row>
    <row r="55" spans="2:18" x14ac:dyDescent="0.35">
      <c r="B55" s="23"/>
      <c r="C55" s="21"/>
      <c r="D55" s="22"/>
      <c r="E55" s="58" t="s">
        <v>132</v>
      </c>
      <c r="F55" s="31">
        <v>14.879</v>
      </c>
      <c r="G55" s="31">
        <v>13.316085449999999</v>
      </c>
      <c r="H55" s="19">
        <f t="shared" si="5"/>
        <v>1.5629145500000003</v>
      </c>
      <c r="I55" s="73"/>
      <c r="J55" s="38"/>
      <c r="K55" s="55"/>
      <c r="L55" s="16">
        <v>4.1539999999999999</v>
      </c>
      <c r="M55" s="16">
        <v>5.3070000000000004</v>
      </c>
      <c r="N55" s="16">
        <f t="shared" si="6"/>
        <v>-1.1530000000000005</v>
      </c>
      <c r="O55" s="18"/>
      <c r="P55" s="38"/>
    </row>
    <row r="56" spans="2:18" x14ac:dyDescent="0.35">
      <c r="B56" s="23"/>
      <c r="C56" s="21"/>
      <c r="D56" s="22"/>
      <c r="E56" s="58" t="s">
        <v>131</v>
      </c>
      <c r="F56" s="31">
        <v>1.26</v>
      </c>
      <c r="G56" s="31">
        <v>0.12300041000000002</v>
      </c>
      <c r="H56" s="19">
        <f t="shared" si="5"/>
        <v>1.1369995900000001</v>
      </c>
      <c r="I56" s="73"/>
      <c r="J56" s="38"/>
      <c r="K56" s="55"/>
      <c r="L56" s="16">
        <v>0.17499999999999999</v>
      </c>
      <c r="M56" s="16">
        <v>0.17699999999999999</v>
      </c>
      <c r="N56" s="16">
        <f t="shared" si="6"/>
        <v>-2.0000000000000018E-3</v>
      </c>
      <c r="O56" s="18"/>
      <c r="P56" s="38"/>
      <c r="R56" s="86"/>
    </row>
    <row r="57" spans="2:18" x14ac:dyDescent="0.35">
      <c r="B57" s="23"/>
      <c r="C57" s="21"/>
      <c r="D57" s="22"/>
      <c r="E57" s="58" t="s">
        <v>130</v>
      </c>
      <c r="F57" s="31">
        <v>20.042999999999999</v>
      </c>
      <c r="G57" s="31">
        <v>16.299762999999999</v>
      </c>
      <c r="H57" s="19">
        <f t="shared" si="5"/>
        <v>3.7432370000000006</v>
      </c>
      <c r="I57" s="73"/>
      <c r="J57" s="38"/>
      <c r="K57" s="55"/>
      <c r="L57" s="16">
        <v>0</v>
      </c>
      <c r="M57" s="16">
        <v>0.3</v>
      </c>
      <c r="N57" s="16">
        <f t="shared" si="6"/>
        <v>-0.3</v>
      </c>
      <c r="O57" s="18"/>
      <c r="P57" s="38"/>
    </row>
    <row r="58" spans="2:18" ht="26" x14ac:dyDescent="0.35">
      <c r="B58" s="23"/>
      <c r="C58" s="21"/>
      <c r="D58" s="22"/>
      <c r="E58" s="58" t="s">
        <v>129</v>
      </c>
      <c r="F58" s="31">
        <v>10.5</v>
      </c>
      <c r="G58" s="31">
        <v>12.231148900000001</v>
      </c>
      <c r="H58" s="19">
        <f t="shared" si="5"/>
        <v>-1.7311489000000009</v>
      </c>
      <c r="I58" s="73"/>
      <c r="J58" s="38"/>
      <c r="K58" s="55"/>
      <c r="L58" s="16">
        <v>0</v>
      </c>
      <c r="M58" s="16">
        <v>4.7249999999999996</v>
      </c>
      <c r="N58" s="16">
        <f t="shared" si="6"/>
        <v>-4.7249999999999996</v>
      </c>
      <c r="O58" s="18"/>
      <c r="P58" s="38"/>
    </row>
    <row r="59" spans="2:18" x14ac:dyDescent="0.35">
      <c r="B59" s="23"/>
      <c r="C59" s="21"/>
      <c r="D59" s="21"/>
      <c r="E59" s="74" t="s">
        <v>128</v>
      </c>
      <c r="F59" s="31">
        <v>32.53</v>
      </c>
      <c r="G59" s="31">
        <v>32.392000000000003</v>
      </c>
      <c r="H59" s="19">
        <f t="shared" si="5"/>
        <v>0.13799999999999812</v>
      </c>
      <c r="I59" s="73"/>
      <c r="J59" s="85"/>
      <c r="K59" s="72"/>
      <c r="L59" s="16">
        <v>0.22</v>
      </c>
      <c r="M59" s="16">
        <v>5.0919999999999996</v>
      </c>
      <c r="N59" s="16">
        <f t="shared" si="6"/>
        <v>-4.8719999999999999</v>
      </c>
      <c r="O59" s="18"/>
      <c r="P59" s="85"/>
    </row>
    <row r="60" spans="2:18" x14ac:dyDescent="0.35">
      <c r="B60" s="13"/>
      <c r="C60" s="12"/>
      <c r="D60" s="144" t="s">
        <v>50</v>
      </c>
      <c r="E60" s="145"/>
      <c r="F60" s="9">
        <f>SUM(F54:F59)</f>
        <v>114.11499999999999</v>
      </c>
      <c r="G60" s="9">
        <f>SUM(G54:G59)</f>
        <v>124.68213066999999</v>
      </c>
      <c r="H60" s="9">
        <f t="shared" si="5"/>
        <v>-10.567130669999997</v>
      </c>
      <c r="I60" s="8">
        <f>H60/G60</f>
        <v>-8.4752567294252817E-2</v>
      </c>
      <c r="J60" s="66"/>
      <c r="K60" s="64"/>
      <c r="L60" s="9">
        <f>SUM(L54:L59)</f>
        <v>617.43200000000002</v>
      </c>
      <c r="M60" s="9">
        <f>SUM(M54:M59)</f>
        <v>481.67100000000005</v>
      </c>
      <c r="N60" s="9">
        <f t="shared" si="6"/>
        <v>135.76099999999997</v>
      </c>
      <c r="O60" s="8">
        <f>N60/M60</f>
        <v>0.28185421169221303</v>
      </c>
      <c r="P60" s="66">
        <v>13</v>
      </c>
    </row>
    <row r="61" spans="2:18" x14ac:dyDescent="0.35">
      <c r="B61" s="51"/>
      <c r="C61" s="49"/>
      <c r="D61" s="49"/>
      <c r="E61" s="49"/>
      <c r="F61" s="51"/>
      <c r="G61" s="51"/>
      <c r="H61" s="49"/>
      <c r="I61" s="60"/>
      <c r="J61" s="59"/>
      <c r="K61" s="49"/>
      <c r="L61" s="49"/>
      <c r="M61" s="49"/>
      <c r="N61" s="49"/>
      <c r="O61" s="48"/>
      <c r="P61" s="47"/>
    </row>
    <row r="62" spans="2:18" ht="39" x14ac:dyDescent="0.35">
      <c r="B62" s="23" t="s">
        <v>127</v>
      </c>
      <c r="C62" s="21" t="s">
        <v>97</v>
      </c>
      <c r="D62" s="22" t="s">
        <v>174</v>
      </c>
      <c r="E62" s="58" t="s">
        <v>126</v>
      </c>
      <c r="F62" s="31">
        <v>482.358</v>
      </c>
      <c r="G62" s="31">
        <v>257.93299999999999</v>
      </c>
      <c r="H62" s="19">
        <f>F62-G62</f>
        <v>224.42500000000001</v>
      </c>
      <c r="I62" s="73">
        <f>H62/G62</f>
        <v>0.87009029476647048</v>
      </c>
      <c r="J62" s="65">
        <v>2</v>
      </c>
      <c r="K62" s="55"/>
      <c r="L62" s="79">
        <v>1.86</v>
      </c>
      <c r="M62" s="79">
        <v>1.321</v>
      </c>
      <c r="N62" s="78">
        <f>L62-M62</f>
        <v>0.53900000000000015</v>
      </c>
      <c r="O62" s="77"/>
      <c r="P62" s="75"/>
    </row>
    <row r="63" spans="2:18" x14ac:dyDescent="0.35">
      <c r="B63" s="23"/>
      <c r="C63" s="21" t="s">
        <v>97</v>
      </c>
      <c r="D63" s="22"/>
      <c r="E63" s="58" t="s">
        <v>125</v>
      </c>
      <c r="F63" s="31">
        <v>4.5199999999999996</v>
      </c>
      <c r="G63" s="31">
        <v>3.8029999999999999</v>
      </c>
      <c r="H63" s="19">
        <f>F63-G63</f>
        <v>0.71699999999999964</v>
      </c>
      <c r="I63" s="56"/>
      <c r="J63" s="38"/>
      <c r="K63" s="55"/>
      <c r="L63" s="31">
        <v>3</v>
      </c>
      <c r="M63" s="31">
        <v>8.68</v>
      </c>
      <c r="N63" s="16">
        <f>L63-M63</f>
        <v>-5.68</v>
      </c>
      <c r="O63" s="56"/>
      <c r="P63" s="75"/>
    </row>
    <row r="64" spans="2:18" x14ac:dyDescent="0.35">
      <c r="B64" s="23"/>
      <c r="C64" s="21" t="s">
        <v>97</v>
      </c>
      <c r="D64" s="22"/>
      <c r="E64" s="58" t="s">
        <v>124</v>
      </c>
      <c r="F64" s="31">
        <v>0</v>
      </c>
      <c r="G64" s="31">
        <v>0</v>
      </c>
      <c r="H64" s="19"/>
      <c r="I64" s="56"/>
      <c r="J64" s="38"/>
      <c r="K64" s="55"/>
      <c r="L64" s="31">
        <v>0</v>
      </c>
      <c r="M64" s="31">
        <v>0</v>
      </c>
      <c r="N64" s="16">
        <f>L64-M64</f>
        <v>0</v>
      </c>
      <c r="O64" s="56"/>
      <c r="P64" s="75"/>
    </row>
    <row r="65" spans="2:16" x14ac:dyDescent="0.35">
      <c r="B65" s="23"/>
      <c r="C65" s="21"/>
      <c r="D65" s="22"/>
      <c r="E65" s="58"/>
      <c r="F65" s="31"/>
      <c r="G65" s="31"/>
      <c r="H65" s="19"/>
      <c r="I65" s="56"/>
      <c r="J65" s="38"/>
      <c r="K65" s="55"/>
      <c r="L65" s="71"/>
      <c r="M65" s="71"/>
      <c r="N65" s="70"/>
      <c r="O65" s="80"/>
      <c r="P65" s="75"/>
    </row>
    <row r="66" spans="2:16" x14ac:dyDescent="0.35">
      <c r="B66" s="13"/>
      <c r="C66" s="12"/>
      <c r="D66" s="144" t="s">
        <v>50</v>
      </c>
      <c r="E66" s="145"/>
      <c r="F66" s="9">
        <f>SUM(F62:F64)</f>
        <v>486.87799999999999</v>
      </c>
      <c r="G66" s="9">
        <f>SUM(G62:G64)</f>
        <v>261.73599999999999</v>
      </c>
      <c r="H66" s="9">
        <f>F66-G66</f>
        <v>225.142</v>
      </c>
      <c r="I66" s="8">
        <f>H66/G66</f>
        <v>0.8601873643671486</v>
      </c>
      <c r="J66" s="66">
        <v>2</v>
      </c>
      <c r="K66" s="64"/>
      <c r="L66" s="9">
        <f>SUM(L62:L64)</f>
        <v>4.8600000000000003</v>
      </c>
      <c r="M66" s="9">
        <f>SUM(M62:M64)</f>
        <v>10.000999999999999</v>
      </c>
      <c r="N66" s="9">
        <f>L66-M66</f>
        <v>-5.1409999999999991</v>
      </c>
      <c r="O66" s="8">
        <f>N66/M66</f>
        <v>-0.51404859514048584</v>
      </c>
      <c r="P66" s="63"/>
    </row>
    <row r="67" spans="2:16" x14ac:dyDescent="0.35">
      <c r="B67" s="51"/>
      <c r="C67" s="49"/>
      <c r="D67" s="49"/>
      <c r="E67" s="49"/>
      <c r="F67" s="51"/>
      <c r="G67" s="51"/>
      <c r="H67" s="49"/>
      <c r="I67" s="60"/>
      <c r="J67" s="59"/>
      <c r="K67" s="49"/>
      <c r="L67" s="49"/>
      <c r="M67" s="49"/>
      <c r="N67" s="49"/>
      <c r="O67" s="48"/>
      <c r="P67" s="47"/>
    </row>
    <row r="68" spans="2:16" ht="26" x14ac:dyDescent="0.35">
      <c r="B68" s="23" t="s">
        <v>123</v>
      </c>
      <c r="C68" s="21" t="s">
        <v>97</v>
      </c>
      <c r="D68" s="22" t="s">
        <v>122</v>
      </c>
      <c r="E68" s="58" t="s">
        <v>121</v>
      </c>
      <c r="F68" s="31">
        <v>3</v>
      </c>
      <c r="G68" s="31">
        <v>29.071000000000002</v>
      </c>
      <c r="H68" s="19">
        <f>F68-G68</f>
        <v>-26.071000000000002</v>
      </c>
      <c r="I68" s="56">
        <f>H68/G68</f>
        <v>-0.896804375494479</v>
      </c>
      <c r="J68" s="65">
        <v>3</v>
      </c>
      <c r="K68" s="55"/>
      <c r="L68" s="9">
        <v>0</v>
      </c>
      <c r="M68" s="9">
        <v>34</v>
      </c>
      <c r="N68" s="37">
        <f>L68-M68</f>
        <v>-34</v>
      </c>
      <c r="O68" s="83">
        <f>N68/M68</f>
        <v>-1</v>
      </c>
      <c r="P68" s="76">
        <v>14</v>
      </c>
    </row>
    <row r="69" spans="2:16" x14ac:dyDescent="0.35">
      <c r="B69" s="51"/>
      <c r="C69" s="49"/>
      <c r="D69" s="49"/>
      <c r="E69" s="49"/>
      <c r="F69" s="51"/>
      <c r="G69" s="51"/>
      <c r="H69" s="49"/>
      <c r="I69" s="84"/>
      <c r="J69" s="59"/>
      <c r="K69" s="49"/>
      <c r="L69" s="49"/>
      <c r="M69" s="49"/>
      <c r="N69" s="49"/>
      <c r="O69" s="48"/>
      <c r="P69" s="47"/>
    </row>
    <row r="70" spans="2:16" x14ac:dyDescent="0.35">
      <c r="B70" s="23" t="s">
        <v>120</v>
      </c>
      <c r="C70" s="21" t="s">
        <v>119</v>
      </c>
      <c r="D70" s="22" t="s">
        <v>119</v>
      </c>
      <c r="E70" s="58"/>
      <c r="F70" s="31">
        <v>2.577</v>
      </c>
      <c r="G70" s="31">
        <v>2.427</v>
      </c>
      <c r="H70" s="16">
        <f>F70-G70</f>
        <v>0.14999999999999991</v>
      </c>
      <c r="I70" s="16"/>
      <c r="J70" s="38"/>
      <c r="K70" s="55"/>
      <c r="L70" s="9">
        <v>0</v>
      </c>
      <c r="M70" s="9">
        <v>854.9</v>
      </c>
      <c r="N70" s="37">
        <f>L70-M70</f>
        <v>-854.9</v>
      </c>
      <c r="O70" s="83">
        <f>N70/M70</f>
        <v>-1</v>
      </c>
      <c r="P70" s="76">
        <v>15</v>
      </c>
    </row>
    <row r="71" spans="2:16" x14ac:dyDescent="0.35">
      <c r="B71" s="51"/>
      <c r="C71" s="49"/>
      <c r="D71" s="49"/>
      <c r="E71" s="49"/>
      <c r="F71" s="51"/>
      <c r="G71" s="51"/>
      <c r="H71" s="49"/>
      <c r="I71" s="60"/>
      <c r="J71" s="59"/>
      <c r="K71" s="49"/>
      <c r="L71" s="49"/>
      <c r="M71" s="49"/>
      <c r="N71" s="49"/>
      <c r="O71" s="48"/>
      <c r="P71" s="47"/>
    </row>
    <row r="72" spans="2:16" ht="26" x14ac:dyDescent="0.35">
      <c r="B72" s="23" t="s">
        <v>118</v>
      </c>
      <c r="C72" s="21" t="s">
        <v>97</v>
      </c>
      <c r="D72" s="22" t="s">
        <v>22</v>
      </c>
      <c r="E72" s="58" t="s">
        <v>117</v>
      </c>
      <c r="F72" s="31">
        <v>8.0660000000000007</v>
      </c>
      <c r="G72" s="31">
        <v>7.6429999999999998</v>
      </c>
      <c r="H72" s="19">
        <f t="shared" ref="H72:H87" si="7">F72-G72</f>
        <v>0.42300000000000093</v>
      </c>
      <c r="I72" s="56"/>
      <c r="J72" s="65"/>
      <c r="K72" s="55"/>
      <c r="L72" s="79">
        <v>0.31</v>
      </c>
      <c r="M72" s="79">
        <v>0.4</v>
      </c>
      <c r="N72" s="78">
        <f t="shared" ref="N72:N87" si="8">L72-M72</f>
        <v>-9.0000000000000024E-2</v>
      </c>
      <c r="O72" s="77"/>
      <c r="P72" s="76"/>
    </row>
    <row r="73" spans="2:16" x14ac:dyDescent="0.35">
      <c r="B73" s="23"/>
      <c r="C73" s="21" t="s">
        <v>97</v>
      </c>
      <c r="D73" s="22"/>
      <c r="E73" s="58" t="s">
        <v>116</v>
      </c>
      <c r="F73" s="31">
        <v>24.221</v>
      </c>
      <c r="G73" s="31">
        <f>16.687+75.441</f>
        <v>92.128</v>
      </c>
      <c r="H73" s="19">
        <f t="shared" si="7"/>
        <v>-67.906999999999996</v>
      </c>
      <c r="I73" s="56">
        <f>H73/G73</f>
        <v>-0.73709404307051052</v>
      </c>
      <c r="J73" s="65">
        <v>4</v>
      </c>
      <c r="K73" s="55"/>
      <c r="L73" s="31">
        <v>11.417999999999999</v>
      </c>
      <c r="M73" s="31">
        <v>8.0570000000000004</v>
      </c>
      <c r="N73" s="16">
        <f t="shared" si="8"/>
        <v>3.3609999999999989</v>
      </c>
      <c r="O73" s="56"/>
      <c r="P73" s="76"/>
    </row>
    <row r="74" spans="2:16" x14ac:dyDescent="0.35">
      <c r="B74" s="23"/>
      <c r="C74" s="21" t="s">
        <v>95</v>
      </c>
      <c r="D74" s="22"/>
      <c r="E74" s="58" t="s">
        <v>116</v>
      </c>
      <c r="F74" s="31">
        <v>0</v>
      </c>
      <c r="G74" s="31">
        <v>0</v>
      </c>
      <c r="H74" s="19"/>
      <c r="I74" s="56"/>
      <c r="J74" s="65"/>
      <c r="K74" s="55"/>
      <c r="L74" s="31">
        <v>0</v>
      </c>
      <c r="M74" s="31">
        <v>0</v>
      </c>
      <c r="N74" s="16"/>
      <c r="O74" s="56"/>
      <c r="P74" s="76"/>
    </row>
    <row r="75" spans="2:16" ht="26" x14ac:dyDescent="0.35">
      <c r="B75" s="23"/>
      <c r="C75" s="21" t="s">
        <v>97</v>
      </c>
      <c r="D75" s="22"/>
      <c r="E75" s="58" t="s">
        <v>115</v>
      </c>
      <c r="F75" s="31">
        <v>12.8</v>
      </c>
      <c r="G75" s="31">
        <v>10.286</v>
      </c>
      <c r="H75" s="19">
        <f t="shared" si="7"/>
        <v>2.5140000000000011</v>
      </c>
      <c r="I75" s="56"/>
      <c r="J75" s="65"/>
      <c r="K75" s="55"/>
      <c r="L75" s="31">
        <v>0</v>
      </c>
      <c r="M75" s="31">
        <v>0</v>
      </c>
      <c r="N75" s="16"/>
      <c r="O75" s="56"/>
      <c r="P75" s="76"/>
    </row>
    <row r="76" spans="2:16" x14ac:dyDescent="0.35">
      <c r="B76" s="23"/>
      <c r="C76" s="21" t="s">
        <v>97</v>
      </c>
      <c r="D76" s="22"/>
      <c r="E76" s="58" t="s">
        <v>114</v>
      </c>
      <c r="F76" s="31">
        <v>1.6259999999999999</v>
      </c>
      <c r="G76" s="31">
        <v>1.4850000000000001</v>
      </c>
      <c r="H76" s="19">
        <f t="shared" si="7"/>
        <v>0.14099999999999979</v>
      </c>
      <c r="I76" s="56"/>
      <c r="J76" s="65"/>
      <c r="K76" s="55"/>
      <c r="L76" s="31">
        <v>0.45</v>
      </c>
      <c r="M76" s="31">
        <v>0.2</v>
      </c>
      <c r="N76" s="16">
        <f t="shared" si="8"/>
        <v>0.25</v>
      </c>
      <c r="O76" s="56"/>
      <c r="P76" s="76"/>
    </row>
    <row r="77" spans="2:16" ht="26" x14ac:dyDescent="0.35">
      <c r="B77" s="23"/>
      <c r="C77" s="21" t="s">
        <v>97</v>
      </c>
      <c r="D77" s="22"/>
      <c r="E77" s="58" t="s">
        <v>113</v>
      </c>
      <c r="F77" s="31">
        <v>4.7649999999999997</v>
      </c>
      <c r="G77" s="31">
        <v>4.1440000000000001</v>
      </c>
      <c r="H77" s="19">
        <f t="shared" si="7"/>
        <v>0.62099999999999955</v>
      </c>
      <c r="I77" s="56"/>
      <c r="J77" s="65"/>
      <c r="K77" s="55"/>
      <c r="L77" s="31">
        <v>0.25</v>
      </c>
      <c r="M77" s="31">
        <v>0.66600000000000004</v>
      </c>
      <c r="N77" s="16">
        <f t="shared" si="8"/>
        <v>-0.41600000000000004</v>
      </c>
      <c r="O77" s="56"/>
      <c r="P77" s="76"/>
    </row>
    <row r="78" spans="2:16" ht="16.5" customHeight="1" x14ac:dyDescent="0.35">
      <c r="B78" s="23"/>
      <c r="C78" s="21" t="s">
        <v>97</v>
      </c>
      <c r="D78" s="22"/>
      <c r="E78" s="58" t="s">
        <v>112</v>
      </c>
      <c r="F78" s="31">
        <v>9.4209999999999994</v>
      </c>
      <c r="G78" s="31">
        <v>59.261000000000003</v>
      </c>
      <c r="H78" s="19">
        <f t="shared" si="7"/>
        <v>-49.84</v>
      </c>
      <c r="I78" s="56">
        <f>H78/G78</f>
        <v>-0.84102529488196287</v>
      </c>
      <c r="J78" s="65">
        <v>4</v>
      </c>
      <c r="K78" s="55"/>
      <c r="L78" s="31">
        <v>3.2109999999999999</v>
      </c>
      <c r="M78" s="31">
        <v>14.826000000000001</v>
      </c>
      <c r="N78" s="16">
        <f t="shared" si="8"/>
        <v>-11.615</v>
      </c>
      <c r="O78" s="56">
        <f>N78/M78</f>
        <v>-0.78342101713206524</v>
      </c>
      <c r="P78" s="76">
        <v>16</v>
      </c>
    </row>
    <row r="79" spans="2:16" ht="26" x14ac:dyDescent="0.35">
      <c r="B79" s="23"/>
      <c r="C79" s="21" t="s">
        <v>97</v>
      </c>
      <c r="D79" s="22"/>
      <c r="E79" s="58" t="s">
        <v>111</v>
      </c>
      <c r="F79" s="31">
        <v>5.1340000000000003</v>
      </c>
      <c r="G79" s="31">
        <v>4.9619999999999997</v>
      </c>
      <c r="H79" s="19">
        <f t="shared" si="7"/>
        <v>0.1720000000000006</v>
      </c>
      <c r="I79" s="56"/>
      <c r="J79" s="65"/>
      <c r="K79" s="55"/>
      <c r="L79" s="31">
        <v>0.15</v>
      </c>
      <c r="M79" s="31">
        <v>0.26600000000000001</v>
      </c>
      <c r="N79" s="16">
        <f t="shared" si="8"/>
        <v>-0.11600000000000002</v>
      </c>
      <c r="O79" s="56"/>
      <c r="P79" s="76"/>
    </row>
    <row r="80" spans="2:16" x14ac:dyDescent="0.35">
      <c r="B80" s="23"/>
      <c r="C80" s="21" t="s">
        <v>97</v>
      </c>
      <c r="D80" s="22"/>
      <c r="E80" s="58" t="s">
        <v>110</v>
      </c>
      <c r="F80" s="31">
        <v>1.194</v>
      </c>
      <c r="G80" s="31">
        <v>1.202</v>
      </c>
      <c r="H80" s="19"/>
      <c r="I80" s="56"/>
      <c r="J80" s="65"/>
      <c r="K80" s="55"/>
      <c r="L80" s="31">
        <v>1.966</v>
      </c>
      <c r="M80" s="31">
        <v>1.524</v>
      </c>
      <c r="N80" s="16">
        <f t="shared" si="8"/>
        <v>0.44199999999999995</v>
      </c>
      <c r="O80" s="56"/>
      <c r="P80" s="76"/>
    </row>
    <row r="81" spans="2:20" ht="26" x14ac:dyDescent="0.35">
      <c r="B81" s="23"/>
      <c r="C81" s="21" t="s">
        <v>97</v>
      </c>
      <c r="D81" s="22"/>
      <c r="E81" s="58" t="s">
        <v>109</v>
      </c>
      <c r="F81" s="31">
        <v>0</v>
      </c>
      <c r="G81" s="31">
        <v>0</v>
      </c>
      <c r="H81" s="19"/>
      <c r="I81" s="56"/>
      <c r="J81" s="65"/>
      <c r="K81" s="55"/>
      <c r="L81" s="31">
        <v>0</v>
      </c>
      <c r="M81" s="31">
        <v>0</v>
      </c>
      <c r="N81" s="16"/>
      <c r="O81" s="56"/>
      <c r="P81" s="76"/>
    </row>
    <row r="82" spans="2:20" x14ac:dyDescent="0.35">
      <c r="B82" s="23"/>
      <c r="C82" s="21" t="s">
        <v>97</v>
      </c>
      <c r="D82" s="22"/>
      <c r="E82" s="58" t="s">
        <v>108</v>
      </c>
      <c r="F82" s="31">
        <v>6.1920000000000002</v>
      </c>
      <c r="G82" s="31">
        <v>5.5869999999999997</v>
      </c>
      <c r="H82" s="19">
        <f t="shared" si="7"/>
        <v>0.60500000000000043</v>
      </c>
      <c r="I82" s="56"/>
      <c r="J82" s="65"/>
      <c r="K82" s="55"/>
      <c r="L82" s="31">
        <v>8.31</v>
      </c>
      <c r="M82" s="31">
        <v>8.1</v>
      </c>
      <c r="N82" s="16">
        <f t="shared" si="8"/>
        <v>0.21000000000000085</v>
      </c>
      <c r="O82" s="56"/>
      <c r="P82" s="76"/>
    </row>
    <row r="83" spans="2:20" ht="26" x14ac:dyDescent="0.35">
      <c r="B83" s="23"/>
      <c r="C83" s="21"/>
      <c r="D83" s="22"/>
      <c r="E83" s="58" t="s">
        <v>107</v>
      </c>
      <c r="F83" s="31">
        <v>2.8540000000000001</v>
      </c>
      <c r="G83" s="31">
        <v>0.57799999999999996</v>
      </c>
      <c r="H83" s="19">
        <f t="shared" si="7"/>
        <v>2.2760000000000002</v>
      </c>
      <c r="I83" s="56"/>
      <c r="J83" s="38"/>
      <c r="K83" s="55"/>
      <c r="L83" s="31">
        <v>6.3</v>
      </c>
      <c r="M83" s="31">
        <v>6.75</v>
      </c>
      <c r="N83" s="16">
        <f t="shared" si="8"/>
        <v>-0.45000000000000018</v>
      </c>
      <c r="O83" s="56"/>
      <c r="P83" s="76"/>
    </row>
    <row r="84" spans="2:20" ht="26" x14ac:dyDescent="0.35">
      <c r="B84" s="23"/>
      <c r="C84" s="21" t="s">
        <v>95</v>
      </c>
      <c r="D84" s="22"/>
      <c r="E84" s="58" t="s">
        <v>106</v>
      </c>
      <c r="F84" s="31">
        <v>0</v>
      </c>
      <c r="G84" s="31">
        <v>0</v>
      </c>
      <c r="H84" s="19"/>
      <c r="I84" s="56"/>
      <c r="J84" s="38"/>
      <c r="K84" s="55"/>
      <c r="L84" s="31">
        <v>0</v>
      </c>
      <c r="M84" s="31">
        <v>0</v>
      </c>
      <c r="N84" s="16"/>
      <c r="O84" s="56"/>
      <c r="P84" s="76"/>
    </row>
    <row r="85" spans="2:20" x14ac:dyDescent="0.35">
      <c r="B85" s="23"/>
      <c r="C85" s="21"/>
      <c r="D85" s="22"/>
      <c r="E85" s="58" t="s">
        <v>105</v>
      </c>
      <c r="F85" s="31">
        <v>0</v>
      </c>
      <c r="G85" s="31">
        <v>0</v>
      </c>
      <c r="H85" s="19"/>
      <c r="I85" s="56"/>
      <c r="J85" s="38"/>
      <c r="K85" s="55"/>
      <c r="L85" s="31">
        <v>0</v>
      </c>
      <c r="M85" s="31">
        <v>27.734000000000002</v>
      </c>
      <c r="N85" s="16">
        <f t="shared" si="8"/>
        <v>-27.734000000000002</v>
      </c>
      <c r="O85" s="56">
        <f>N85/M85</f>
        <v>-1</v>
      </c>
      <c r="P85" s="76">
        <v>16</v>
      </c>
    </row>
    <row r="86" spans="2:20" ht="26" x14ac:dyDescent="0.35">
      <c r="B86" s="23"/>
      <c r="C86" s="21" t="s">
        <v>97</v>
      </c>
      <c r="D86" s="22"/>
      <c r="E86" s="58" t="s">
        <v>104</v>
      </c>
      <c r="F86" s="31">
        <v>-2.1000000000000001E-2</v>
      </c>
      <c r="G86" s="31">
        <v>-2.1000000000000001E-2</v>
      </c>
      <c r="H86" s="19"/>
      <c r="I86" s="56"/>
      <c r="J86" s="38"/>
      <c r="K86" s="55"/>
      <c r="L86" s="31">
        <v>0</v>
      </c>
      <c r="M86" s="31">
        <v>0</v>
      </c>
      <c r="N86" s="16"/>
      <c r="O86" s="56"/>
      <c r="P86" s="76"/>
    </row>
    <row r="87" spans="2:20" x14ac:dyDescent="0.35">
      <c r="B87" s="23"/>
      <c r="C87" s="21"/>
      <c r="D87" s="22"/>
      <c r="E87" s="58" t="s">
        <v>103</v>
      </c>
      <c r="F87" s="31">
        <v>21.920999999999999</v>
      </c>
      <c r="G87" s="31">
        <v>15.145</v>
      </c>
      <c r="H87" s="19">
        <f t="shared" si="7"/>
        <v>6.7759999999999998</v>
      </c>
      <c r="I87" s="56"/>
      <c r="J87" s="65"/>
      <c r="K87" s="55"/>
      <c r="L87" s="31">
        <v>0.7</v>
      </c>
      <c r="M87" s="31">
        <v>0</v>
      </c>
      <c r="N87" s="16">
        <f t="shared" si="8"/>
        <v>0.7</v>
      </c>
      <c r="O87" s="56"/>
      <c r="P87" s="76"/>
    </row>
    <row r="88" spans="2:20" x14ac:dyDescent="0.35">
      <c r="B88" s="23"/>
      <c r="C88" s="21"/>
      <c r="D88" s="22"/>
      <c r="E88" s="58"/>
      <c r="F88" s="31"/>
      <c r="G88" s="31"/>
      <c r="H88" s="19"/>
      <c r="I88" s="56"/>
      <c r="J88" s="38"/>
      <c r="K88" s="55"/>
      <c r="L88" s="71"/>
      <c r="M88" s="71"/>
      <c r="N88" s="70"/>
      <c r="O88" s="80"/>
      <c r="P88" s="76"/>
    </row>
    <row r="89" spans="2:20" x14ac:dyDescent="0.35">
      <c r="B89" s="13"/>
      <c r="C89" s="12"/>
      <c r="D89" s="144" t="s">
        <v>50</v>
      </c>
      <c r="E89" s="145"/>
      <c r="F89" s="9">
        <f>SUM(F72:F88)</f>
        <v>98.173000000000002</v>
      </c>
      <c r="G89" s="9">
        <f>SUM(G72:G88)</f>
        <v>202.4</v>
      </c>
      <c r="H89" s="9">
        <f>F89-G89</f>
        <v>-104.227</v>
      </c>
      <c r="I89" s="8">
        <f>H89/G89</f>
        <v>-0.51495553359683799</v>
      </c>
      <c r="J89" s="66">
        <v>4</v>
      </c>
      <c r="K89" s="64"/>
      <c r="L89" s="9">
        <f>SUM(L72:L87)</f>
        <v>33.064999999999998</v>
      </c>
      <c r="M89" s="9">
        <f>SUM(M72:M87)</f>
        <v>68.522999999999996</v>
      </c>
      <c r="N89" s="9">
        <f>L89-M89</f>
        <v>-35.457999999999998</v>
      </c>
      <c r="O89" s="8">
        <f>N89/M89</f>
        <v>-0.51746129036965693</v>
      </c>
      <c r="P89" s="66">
        <v>16</v>
      </c>
    </row>
    <row r="90" spans="2:20" x14ac:dyDescent="0.35">
      <c r="B90" s="51"/>
      <c r="C90" s="49"/>
      <c r="D90" s="49"/>
      <c r="E90" s="49"/>
      <c r="F90" s="51"/>
      <c r="G90" s="51"/>
      <c r="H90" s="49"/>
      <c r="I90" s="60"/>
      <c r="J90" s="59"/>
      <c r="K90" s="49"/>
      <c r="L90" s="49"/>
      <c r="M90" s="49"/>
      <c r="N90" s="49"/>
      <c r="O90" s="48"/>
      <c r="P90" s="47"/>
    </row>
    <row r="91" spans="2:20" ht="39" x14ac:dyDescent="0.35">
      <c r="B91" s="23" t="s">
        <v>102</v>
      </c>
      <c r="C91" s="21" t="s">
        <v>97</v>
      </c>
      <c r="D91" s="22" t="s">
        <v>101</v>
      </c>
      <c r="E91" s="58"/>
      <c r="F91" s="31">
        <v>395.983</v>
      </c>
      <c r="G91" s="31">
        <v>365.27300000000002</v>
      </c>
      <c r="H91" s="19">
        <f>F91-G91</f>
        <v>30.70999999999998</v>
      </c>
      <c r="I91" s="8">
        <f>H91/G91</f>
        <v>8.407410347876787E-2</v>
      </c>
      <c r="J91" s="38"/>
      <c r="K91" s="55"/>
      <c r="L91" s="9">
        <v>104.56</v>
      </c>
      <c r="M91" s="9">
        <v>16.327000000000002</v>
      </c>
      <c r="N91" s="37">
        <f>L91-M91</f>
        <v>88.233000000000004</v>
      </c>
      <c r="O91" s="8">
        <f>N91/M91</f>
        <v>5.4041158816684014</v>
      </c>
      <c r="P91" s="76">
        <v>17</v>
      </c>
      <c r="T91" s="97"/>
    </row>
    <row r="92" spans="2:20" x14ac:dyDescent="0.35">
      <c r="B92" s="51"/>
      <c r="C92" s="49"/>
      <c r="D92" s="49"/>
      <c r="E92" s="49"/>
      <c r="F92" s="51"/>
      <c r="G92" s="51"/>
      <c r="H92" s="49"/>
      <c r="I92" s="60"/>
      <c r="J92" s="59"/>
      <c r="K92" s="49"/>
      <c r="L92" s="49"/>
      <c r="M92" s="49"/>
      <c r="N92" s="49"/>
      <c r="O92" s="48"/>
      <c r="P92" s="47"/>
    </row>
    <row r="93" spans="2:20" ht="26" x14ac:dyDescent="0.35">
      <c r="B93" s="23" t="s">
        <v>100</v>
      </c>
      <c r="C93" s="21" t="s">
        <v>97</v>
      </c>
      <c r="D93" s="22" t="s">
        <v>17</v>
      </c>
      <c r="E93" s="58" t="s">
        <v>16</v>
      </c>
      <c r="F93" s="31">
        <v>508.29199999999997</v>
      </c>
      <c r="G93" s="31">
        <f>488.37+0.409</f>
        <v>488.779</v>
      </c>
      <c r="H93" s="19">
        <f t="shared" ref="H93:H100" si="9">F93-G93</f>
        <v>19.512999999999977</v>
      </c>
      <c r="I93" s="56">
        <f>H93/G93</f>
        <v>3.9921927906067932E-2</v>
      </c>
      <c r="J93" s="65">
        <v>5</v>
      </c>
      <c r="K93" s="55"/>
      <c r="L93" s="31">
        <v>23.43</v>
      </c>
      <c r="M93" s="31">
        <v>21.356000000000002</v>
      </c>
      <c r="N93" s="78">
        <f t="shared" ref="N93:N100" si="10">L93-M93</f>
        <v>2.0739999999999981</v>
      </c>
      <c r="O93" s="56"/>
      <c r="P93" s="76"/>
    </row>
    <row r="94" spans="2:20" ht="26" x14ac:dyDescent="0.35">
      <c r="B94" s="23"/>
      <c r="C94" s="21" t="s">
        <v>95</v>
      </c>
      <c r="D94" s="22"/>
      <c r="E94" s="58" t="s">
        <v>16</v>
      </c>
      <c r="F94" s="31">
        <v>-413.87400000000002</v>
      </c>
      <c r="G94" s="31">
        <v>-418.21499999999997</v>
      </c>
      <c r="H94" s="19">
        <f t="shared" si="9"/>
        <v>4.3409999999999513</v>
      </c>
      <c r="I94" s="56"/>
      <c r="J94" s="65"/>
      <c r="K94" s="55"/>
      <c r="L94" s="31"/>
      <c r="M94" s="31"/>
      <c r="N94" s="16">
        <f t="shared" si="10"/>
        <v>0</v>
      </c>
      <c r="O94" s="56"/>
      <c r="P94" s="76"/>
    </row>
    <row r="95" spans="2:20" ht="26" x14ac:dyDescent="0.35">
      <c r="B95" s="23"/>
      <c r="C95" s="21"/>
      <c r="D95" s="22"/>
      <c r="E95" s="58" t="s">
        <v>99</v>
      </c>
      <c r="F95" s="31">
        <v>17</v>
      </c>
      <c r="G95" s="31">
        <v>16.327000000000002</v>
      </c>
      <c r="H95" s="19">
        <f t="shared" si="9"/>
        <v>0.67299999999999827</v>
      </c>
      <c r="I95" s="56"/>
      <c r="J95" s="65"/>
      <c r="K95" s="55"/>
      <c r="L95" s="31"/>
      <c r="M95" s="31"/>
      <c r="N95" s="16">
        <f t="shared" si="10"/>
        <v>0</v>
      </c>
      <c r="O95" s="56"/>
      <c r="P95" s="76"/>
    </row>
    <row r="96" spans="2:20" x14ac:dyDescent="0.35">
      <c r="B96" s="23"/>
      <c r="C96" s="21"/>
      <c r="D96" s="22"/>
      <c r="E96" s="58" t="s">
        <v>98</v>
      </c>
      <c r="F96" s="31">
        <v>3.5000000000000003E-2</v>
      </c>
      <c r="G96" s="31">
        <v>3.5000000000000003E-2</v>
      </c>
      <c r="H96" s="19"/>
      <c r="I96" s="56"/>
      <c r="J96" s="65"/>
      <c r="K96" s="55"/>
      <c r="L96" s="31">
        <v>0.68300000000000005</v>
      </c>
      <c r="M96" s="31">
        <v>0.69699999999999995</v>
      </c>
      <c r="N96" s="16">
        <f t="shared" si="10"/>
        <v>-1.3999999999999901E-2</v>
      </c>
      <c r="O96" s="56"/>
      <c r="P96" s="76"/>
    </row>
    <row r="97" spans="2:16" ht="26" x14ac:dyDescent="0.35">
      <c r="B97" s="23"/>
      <c r="C97" s="21" t="s">
        <v>97</v>
      </c>
      <c r="D97" s="22"/>
      <c r="E97" s="58" t="s">
        <v>15</v>
      </c>
      <c r="F97" s="31">
        <v>22.742000000000001</v>
      </c>
      <c r="G97" s="31">
        <v>23.864999999999998</v>
      </c>
      <c r="H97" s="19">
        <f t="shared" si="9"/>
        <v>-1.1229999999999976</v>
      </c>
      <c r="I97" s="56"/>
      <c r="J97" s="65"/>
      <c r="K97" s="55"/>
      <c r="L97" s="31">
        <v>3</v>
      </c>
      <c r="M97" s="31">
        <v>0.60099999999999998</v>
      </c>
      <c r="N97" s="16">
        <f t="shared" si="10"/>
        <v>2.399</v>
      </c>
      <c r="O97" s="56"/>
      <c r="P97" s="76"/>
    </row>
    <row r="98" spans="2:16" ht="26" x14ac:dyDescent="0.35">
      <c r="B98" s="23"/>
      <c r="C98" s="21" t="s">
        <v>95</v>
      </c>
      <c r="D98" s="22"/>
      <c r="E98" s="58" t="s">
        <v>15</v>
      </c>
      <c r="F98" s="31">
        <v>-21.641999999999999</v>
      </c>
      <c r="G98" s="31">
        <v>-22.945</v>
      </c>
      <c r="H98" s="19">
        <f t="shared" si="9"/>
        <v>1.3030000000000008</v>
      </c>
      <c r="I98" s="56"/>
      <c r="J98" s="65"/>
      <c r="K98" s="55"/>
      <c r="L98" s="31"/>
      <c r="M98" s="31"/>
      <c r="N98" s="16">
        <f t="shared" si="10"/>
        <v>0</v>
      </c>
      <c r="O98" s="56"/>
      <c r="P98" s="76"/>
    </row>
    <row r="99" spans="2:16" ht="39" x14ac:dyDescent="0.35">
      <c r="B99" s="23"/>
      <c r="C99" s="21" t="s">
        <v>97</v>
      </c>
      <c r="D99" s="22"/>
      <c r="E99" s="58" t="s">
        <v>96</v>
      </c>
      <c r="F99" s="31">
        <v>14.321999999999999</v>
      </c>
      <c r="G99" s="31">
        <v>62.813000000000002</v>
      </c>
      <c r="H99" s="19">
        <f t="shared" si="9"/>
        <v>-48.491</v>
      </c>
      <c r="I99" s="56">
        <f>H99/G99</f>
        <v>-0.77198987470746494</v>
      </c>
      <c r="J99" s="65">
        <v>5</v>
      </c>
      <c r="K99" s="55"/>
      <c r="L99" s="31">
        <v>35.4</v>
      </c>
      <c r="M99" s="31">
        <v>11.4</v>
      </c>
      <c r="N99" s="16">
        <f t="shared" si="10"/>
        <v>24</v>
      </c>
      <c r="O99" s="56">
        <f>N99/M99</f>
        <v>2.1052631578947367</v>
      </c>
      <c r="P99" s="76">
        <v>18</v>
      </c>
    </row>
    <row r="100" spans="2:16" ht="39" x14ac:dyDescent="0.35">
      <c r="B100" s="23"/>
      <c r="C100" s="21" t="s">
        <v>95</v>
      </c>
      <c r="D100" s="22"/>
      <c r="E100" s="58" t="s">
        <v>94</v>
      </c>
      <c r="F100" s="31">
        <v>-60</v>
      </c>
      <c r="G100" s="31">
        <v>-61.923000000000002</v>
      </c>
      <c r="H100" s="19">
        <f t="shared" si="9"/>
        <v>1.9230000000000018</v>
      </c>
      <c r="I100" s="56"/>
      <c r="J100" s="65"/>
      <c r="K100" s="55"/>
      <c r="L100" s="31">
        <v>-5</v>
      </c>
      <c r="M100" s="31">
        <v>-8.1999999999999993</v>
      </c>
      <c r="N100" s="16">
        <f t="shared" si="10"/>
        <v>3.1999999999999993</v>
      </c>
      <c r="O100" s="56">
        <f>N100/M100</f>
        <v>-0.39024390243902435</v>
      </c>
      <c r="P100" s="76">
        <v>18</v>
      </c>
    </row>
    <row r="101" spans="2:16" x14ac:dyDescent="0.35">
      <c r="B101" s="23"/>
      <c r="C101" s="21"/>
      <c r="D101" s="22"/>
      <c r="E101" s="58"/>
      <c r="F101" s="31"/>
      <c r="G101" s="31"/>
      <c r="H101" s="19"/>
      <c r="I101" s="56"/>
      <c r="J101" s="38"/>
      <c r="K101" s="55"/>
      <c r="L101" s="71"/>
      <c r="M101" s="71"/>
      <c r="N101" s="70"/>
      <c r="O101" s="80"/>
      <c r="P101" s="76"/>
    </row>
    <row r="102" spans="2:16" x14ac:dyDescent="0.35">
      <c r="B102" s="13"/>
      <c r="C102" s="12"/>
      <c r="D102" s="144" t="s">
        <v>50</v>
      </c>
      <c r="E102" s="145"/>
      <c r="F102" s="9">
        <f>SUM(F93:F100)</f>
        <v>66.874999999999943</v>
      </c>
      <c r="G102" s="9">
        <f>SUM(G93:G100)</f>
        <v>88.73599999999999</v>
      </c>
      <c r="H102" s="9">
        <f>SUM(H93:H100)</f>
        <v>-21.861000000000068</v>
      </c>
      <c r="I102" s="8">
        <f>H102/G102</f>
        <v>-0.24635998918139279</v>
      </c>
      <c r="J102" s="66">
        <v>5</v>
      </c>
      <c r="K102" s="64"/>
      <c r="L102" s="9">
        <f>SUM(L93:L101)</f>
        <v>57.512999999999998</v>
      </c>
      <c r="M102" s="9">
        <f>SUM(M93:M101)</f>
        <v>25.854000000000003</v>
      </c>
      <c r="N102" s="9">
        <f>SUM(N93:N101)</f>
        <v>31.658999999999995</v>
      </c>
      <c r="O102" s="8">
        <f>N102/M102</f>
        <v>1.2245300533766532</v>
      </c>
      <c r="P102" s="66">
        <v>18</v>
      </c>
    </row>
    <row r="103" spans="2:16" x14ac:dyDescent="0.35">
      <c r="B103" s="51"/>
      <c r="C103" s="49"/>
      <c r="D103" s="49"/>
      <c r="E103" s="49"/>
      <c r="F103" s="51"/>
      <c r="G103" s="51"/>
      <c r="H103" s="49"/>
      <c r="I103" s="60"/>
      <c r="J103" s="59"/>
      <c r="K103" s="49"/>
      <c r="L103" s="49"/>
      <c r="M103" s="49"/>
      <c r="N103" s="49"/>
      <c r="O103" s="48"/>
      <c r="P103" s="47"/>
    </row>
    <row r="104" spans="2:16" ht="39" x14ac:dyDescent="0.35">
      <c r="B104" s="23" t="s">
        <v>93</v>
      </c>
      <c r="C104" s="21"/>
      <c r="D104" s="22" t="s">
        <v>92</v>
      </c>
      <c r="E104" s="58" t="s">
        <v>91</v>
      </c>
      <c r="F104" s="31">
        <v>0.17499999999999999</v>
      </c>
      <c r="G104" s="31">
        <v>0.27500000000000002</v>
      </c>
      <c r="H104" s="19">
        <f t="shared" ref="H104:H113" si="11">F104-G104</f>
        <v>-0.10000000000000003</v>
      </c>
      <c r="I104" s="56"/>
      <c r="J104" s="38"/>
      <c r="K104" s="55"/>
      <c r="L104" s="79">
        <v>20.831</v>
      </c>
      <c r="M104" s="79">
        <v>24.957000000000001</v>
      </c>
      <c r="N104" s="78">
        <f t="shared" ref="N104:N110" si="12">L104-M104</f>
        <v>-4.1260000000000012</v>
      </c>
      <c r="O104" s="56"/>
      <c r="P104" s="75"/>
    </row>
    <row r="105" spans="2:16" ht="15" customHeight="1" x14ac:dyDescent="0.35">
      <c r="B105" s="23"/>
      <c r="C105" s="21"/>
      <c r="D105" s="22"/>
      <c r="E105" s="58" t="s">
        <v>90</v>
      </c>
      <c r="F105" s="31">
        <v>0.60599999999999998</v>
      </c>
      <c r="G105" s="31">
        <v>0.11</v>
      </c>
      <c r="H105" s="19">
        <f t="shared" si="11"/>
        <v>0.496</v>
      </c>
      <c r="I105" s="56"/>
      <c r="J105" s="38"/>
      <c r="K105" s="55"/>
      <c r="L105" s="31">
        <v>5.9450000000000003</v>
      </c>
      <c r="M105" s="31">
        <v>5.0010000000000003</v>
      </c>
      <c r="N105" s="16">
        <f t="shared" si="12"/>
        <v>0.94399999999999995</v>
      </c>
      <c r="O105" s="56"/>
      <c r="P105" s="75"/>
    </row>
    <row r="106" spans="2:16" x14ac:dyDescent="0.35">
      <c r="B106" s="23"/>
      <c r="C106" s="21"/>
      <c r="D106" s="22"/>
      <c r="E106" s="58" t="s">
        <v>89</v>
      </c>
      <c r="F106" s="31">
        <v>3.9350000000000001</v>
      </c>
      <c r="G106" s="31">
        <v>3.802</v>
      </c>
      <c r="H106" s="19">
        <f t="shared" si="11"/>
        <v>0.13300000000000001</v>
      </c>
      <c r="I106" s="56"/>
      <c r="J106" s="65"/>
      <c r="K106" s="55"/>
      <c r="L106" s="31">
        <v>4.05</v>
      </c>
      <c r="M106" s="31">
        <v>2.161</v>
      </c>
      <c r="N106" s="16">
        <f t="shared" si="12"/>
        <v>1.8889999999999998</v>
      </c>
      <c r="O106" s="56"/>
      <c r="P106" s="76"/>
    </row>
    <row r="107" spans="2:16" x14ac:dyDescent="0.35">
      <c r="B107" s="23"/>
      <c r="C107" s="21"/>
      <c r="D107" s="22"/>
      <c r="E107" s="58" t="s">
        <v>88</v>
      </c>
      <c r="F107" s="31">
        <v>0</v>
      </c>
      <c r="G107" s="31">
        <v>0</v>
      </c>
      <c r="H107" s="19"/>
      <c r="I107" s="56"/>
      <c r="J107" s="38"/>
      <c r="K107" s="55"/>
      <c r="L107" s="31">
        <v>0</v>
      </c>
      <c r="M107" s="31">
        <v>0</v>
      </c>
      <c r="N107" s="16"/>
      <c r="O107" s="56"/>
      <c r="P107" s="75"/>
    </row>
    <row r="108" spans="2:16" ht="26" x14ac:dyDescent="0.35">
      <c r="B108" s="23"/>
      <c r="C108" s="21"/>
      <c r="D108" s="22"/>
      <c r="E108" s="58" t="s">
        <v>87</v>
      </c>
      <c r="F108" s="31">
        <v>0</v>
      </c>
      <c r="G108" s="31">
        <v>0</v>
      </c>
      <c r="H108" s="19"/>
      <c r="I108" s="56"/>
      <c r="J108" s="38"/>
      <c r="K108" s="55"/>
      <c r="L108" s="31">
        <v>0.39700000000000002</v>
      </c>
      <c r="M108" s="31">
        <v>0.46300000000000002</v>
      </c>
      <c r="N108" s="16">
        <f t="shared" si="12"/>
        <v>-6.6000000000000003E-2</v>
      </c>
      <c r="O108" s="56"/>
      <c r="P108" s="75"/>
    </row>
    <row r="109" spans="2:16" x14ac:dyDescent="0.35">
      <c r="B109" s="23"/>
      <c r="C109" s="21"/>
      <c r="D109" s="22"/>
      <c r="E109" s="58" t="s">
        <v>86</v>
      </c>
      <c r="F109" s="31">
        <v>8.2940000000000005</v>
      </c>
      <c r="G109" s="31">
        <v>10.262</v>
      </c>
      <c r="H109" s="19">
        <f t="shared" si="11"/>
        <v>-1.968</v>
      </c>
      <c r="I109" s="56"/>
      <c r="J109" s="38"/>
      <c r="K109" s="55"/>
      <c r="L109" s="31">
        <v>0.21</v>
      </c>
      <c r="M109" s="31">
        <v>0.54700000000000004</v>
      </c>
      <c r="N109" s="16">
        <f t="shared" si="12"/>
        <v>-0.33700000000000008</v>
      </c>
      <c r="O109" s="56"/>
      <c r="P109" s="75"/>
    </row>
    <row r="110" spans="2:16" ht="26" x14ac:dyDescent="0.35">
      <c r="B110" s="23"/>
      <c r="C110" s="21"/>
      <c r="D110" s="22"/>
      <c r="E110" s="58" t="s">
        <v>85</v>
      </c>
      <c r="F110" s="31">
        <v>0.38200000000000001</v>
      </c>
      <c r="G110" s="31">
        <v>0.34499999999999997</v>
      </c>
      <c r="H110" s="19">
        <f t="shared" si="11"/>
        <v>3.7000000000000033E-2</v>
      </c>
      <c r="I110" s="56"/>
      <c r="J110" s="38"/>
      <c r="K110" s="55"/>
      <c r="L110" s="31">
        <v>0.63900000000000001</v>
      </c>
      <c r="M110" s="31">
        <v>0.39100000000000001</v>
      </c>
      <c r="N110" s="16">
        <f t="shared" si="12"/>
        <v>0.248</v>
      </c>
      <c r="O110" s="56"/>
      <c r="P110" s="75"/>
    </row>
    <row r="111" spans="2:16" x14ac:dyDescent="0.35">
      <c r="B111" s="23"/>
      <c r="C111" s="21"/>
      <c r="D111" s="22"/>
      <c r="E111" s="58" t="s">
        <v>84</v>
      </c>
      <c r="F111" s="31">
        <v>4.68</v>
      </c>
      <c r="G111" s="31">
        <v>4.4790000000000001</v>
      </c>
      <c r="H111" s="19">
        <f t="shared" si="11"/>
        <v>0.20099999999999962</v>
      </c>
      <c r="I111" s="56"/>
      <c r="J111" s="38"/>
      <c r="K111" s="55"/>
      <c r="L111" s="31">
        <v>0</v>
      </c>
      <c r="M111" s="31">
        <v>0</v>
      </c>
      <c r="N111" s="16"/>
      <c r="O111" s="56"/>
      <c r="P111" s="75"/>
    </row>
    <row r="112" spans="2:16" x14ac:dyDescent="0.35">
      <c r="B112" s="23"/>
      <c r="C112" s="21"/>
      <c r="D112" s="22"/>
      <c r="E112" s="58" t="s">
        <v>83</v>
      </c>
      <c r="F112" s="31">
        <v>4.3890000000000002</v>
      </c>
      <c r="G112" s="31">
        <v>2.77</v>
      </c>
      <c r="H112" s="19">
        <f t="shared" si="11"/>
        <v>1.6190000000000002</v>
      </c>
      <c r="I112" s="56"/>
      <c r="J112" s="38"/>
      <c r="K112" s="55"/>
      <c r="L112" s="31">
        <v>0</v>
      </c>
      <c r="M112" s="31">
        <v>0</v>
      </c>
      <c r="N112" s="16"/>
      <c r="O112" s="56"/>
      <c r="P112" s="75"/>
    </row>
    <row r="113" spans="2:20" x14ac:dyDescent="0.35">
      <c r="B113" s="23"/>
      <c r="C113" s="21"/>
      <c r="D113" s="22"/>
      <c r="E113" s="58" t="s">
        <v>82</v>
      </c>
      <c r="F113" s="31">
        <v>3.3319999999999999</v>
      </c>
      <c r="G113" s="31">
        <v>2.972</v>
      </c>
      <c r="H113" s="19">
        <f t="shared" si="11"/>
        <v>0.35999999999999988</v>
      </c>
      <c r="I113" s="56"/>
      <c r="J113" s="38"/>
      <c r="K113" s="55"/>
      <c r="L113" s="31">
        <v>0</v>
      </c>
      <c r="M113" s="31">
        <v>0</v>
      </c>
      <c r="N113" s="16"/>
      <c r="O113" s="56"/>
      <c r="P113" s="75"/>
    </row>
    <row r="114" spans="2:20" x14ac:dyDescent="0.35">
      <c r="B114" s="23"/>
      <c r="C114" s="21"/>
      <c r="D114" s="22"/>
      <c r="E114" s="58"/>
      <c r="F114" s="31"/>
      <c r="G114" s="31"/>
      <c r="H114" s="19"/>
      <c r="I114" s="56"/>
      <c r="J114" s="38"/>
      <c r="K114" s="55"/>
      <c r="L114" s="71"/>
      <c r="M114" s="71"/>
      <c r="N114" s="70"/>
      <c r="O114" s="80"/>
      <c r="P114" s="75"/>
    </row>
    <row r="115" spans="2:20" x14ac:dyDescent="0.35">
      <c r="B115" s="13"/>
      <c r="C115" s="12"/>
      <c r="D115" s="144" t="s">
        <v>50</v>
      </c>
      <c r="E115" s="145"/>
      <c r="F115" s="9">
        <f>SUM(F104:F113)</f>
        <v>25.793000000000003</v>
      </c>
      <c r="G115" s="9">
        <f>SUM(G104:G113)</f>
        <v>25.015000000000004</v>
      </c>
      <c r="H115" s="9">
        <f>SUM(H104:H113)</f>
        <v>0.77799999999999958</v>
      </c>
      <c r="I115" s="83">
        <f>H115/G115</f>
        <v>3.110133919648209E-2</v>
      </c>
      <c r="J115" s="62"/>
      <c r="K115" s="64"/>
      <c r="L115" s="9">
        <f>SUM(L104:L113)</f>
        <v>32.072000000000003</v>
      </c>
      <c r="M115" s="9">
        <f>SUM(M104:M113)</f>
        <v>33.519999999999996</v>
      </c>
      <c r="N115" s="9">
        <f>SUM(N104:N113)</f>
        <v>-1.4480000000000015</v>
      </c>
      <c r="O115" s="8">
        <f>N115/M115</f>
        <v>-4.3198090692124158E-2</v>
      </c>
      <c r="P115" s="63"/>
    </row>
    <row r="116" spans="2:20" x14ac:dyDescent="0.35">
      <c r="B116" s="51"/>
      <c r="C116" s="49"/>
      <c r="D116" s="49"/>
      <c r="E116" s="49"/>
      <c r="F116" s="51"/>
      <c r="G116" s="51"/>
      <c r="H116" s="49"/>
      <c r="I116" s="60"/>
      <c r="J116" s="59"/>
      <c r="K116" s="49"/>
      <c r="L116" s="49"/>
      <c r="M116" s="49"/>
      <c r="N116" s="49"/>
      <c r="O116" s="48"/>
      <c r="P116" s="47"/>
    </row>
    <row r="117" spans="2:20" ht="26" x14ac:dyDescent="0.35">
      <c r="B117" s="23" t="s">
        <v>81</v>
      </c>
      <c r="C117" s="21"/>
      <c r="D117" s="22" t="s">
        <v>12</v>
      </c>
      <c r="E117" s="58" t="s">
        <v>80</v>
      </c>
      <c r="F117" s="31">
        <v>6.5730000000000004</v>
      </c>
      <c r="G117" s="31">
        <v>13.38</v>
      </c>
      <c r="H117" s="19">
        <f t="shared" ref="H117:H125" si="13">F117-G117</f>
        <v>-6.8070000000000004</v>
      </c>
      <c r="I117" s="56"/>
      <c r="J117" s="65"/>
      <c r="K117" s="55"/>
      <c r="L117" s="79">
        <v>0</v>
      </c>
      <c r="M117" s="79">
        <v>0</v>
      </c>
      <c r="N117" s="16"/>
      <c r="O117" s="77"/>
      <c r="P117" s="76"/>
      <c r="R117" s="81"/>
      <c r="S117" s="81"/>
      <c r="T117" s="81"/>
    </row>
    <row r="118" spans="2:20" x14ac:dyDescent="0.35">
      <c r="B118" s="23"/>
      <c r="C118" s="21"/>
      <c r="D118" s="22"/>
      <c r="E118" s="58" t="s">
        <v>79</v>
      </c>
      <c r="F118" s="31">
        <f>0.207+245.012</f>
        <v>245.21899999999999</v>
      </c>
      <c r="G118" s="31">
        <f>251.548+0.2</f>
        <v>251.74799999999999</v>
      </c>
      <c r="H118" s="19">
        <f t="shared" si="13"/>
        <v>-6.5289999999999964</v>
      </c>
      <c r="I118" s="56"/>
      <c r="J118" s="65"/>
      <c r="K118" s="55"/>
      <c r="L118" s="31">
        <v>0</v>
      </c>
      <c r="M118" s="31">
        <v>0</v>
      </c>
      <c r="N118" s="16"/>
      <c r="O118" s="56"/>
      <c r="P118" s="76"/>
      <c r="Q118" s="81"/>
      <c r="R118" s="81"/>
      <c r="S118" s="81"/>
      <c r="T118" s="81"/>
    </row>
    <row r="119" spans="2:20" ht="26" x14ac:dyDescent="0.35">
      <c r="B119" s="23"/>
      <c r="C119" s="21"/>
      <c r="D119" s="22"/>
      <c r="E119" s="58" t="s">
        <v>78</v>
      </c>
      <c r="F119" s="31">
        <v>-0.72</v>
      </c>
      <c r="G119" s="31">
        <v>66.549000000000007</v>
      </c>
      <c r="H119" s="19">
        <f t="shared" si="13"/>
        <v>-67.269000000000005</v>
      </c>
      <c r="I119" s="56">
        <f>H119/G119</f>
        <v>-1.0108190957039174</v>
      </c>
      <c r="J119" s="65">
        <v>6</v>
      </c>
      <c r="K119" s="55"/>
      <c r="L119" s="31">
        <v>13.068</v>
      </c>
      <c r="M119" s="31">
        <v>1.579</v>
      </c>
      <c r="N119" s="16">
        <f t="shared" ref="N119:N124" si="14">L119-M119</f>
        <v>11.488999999999999</v>
      </c>
      <c r="O119" s="56"/>
      <c r="P119" s="76"/>
      <c r="R119" s="81"/>
      <c r="S119" s="81"/>
      <c r="T119" s="81"/>
    </row>
    <row r="120" spans="2:20" x14ac:dyDescent="0.35">
      <c r="B120" s="23"/>
      <c r="C120" s="21"/>
      <c r="D120" s="22"/>
      <c r="E120" s="58" t="s">
        <v>77</v>
      </c>
      <c r="F120" s="31">
        <v>0</v>
      </c>
      <c r="G120" s="31">
        <v>0</v>
      </c>
      <c r="H120" s="19">
        <f t="shared" si="13"/>
        <v>0</v>
      </c>
      <c r="I120" s="56"/>
      <c r="J120" s="65"/>
      <c r="K120" s="55"/>
      <c r="L120" s="31">
        <v>0</v>
      </c>
      <c r="M120" s="31">
        <v>0</v>
      </c>
      <c r="N120" s="16"/>
      <c r="O120" s="56"/>
      <c r="P120" s="76"/>
      <c r="Q120" s="81"/>
      <c r="R120" s="81"/>
      <c r="S120" s="81"/>
      <c r="T120" s="81"/>
    </row>
    <row r="121" spans="2:20" ht="26" x14ac:dyDescent="0.35">
      <c r="B121" s="23"/>
      <c r="C121" s="21"/>
      <c r="D121" s="22"/>
      <c r="E121" s="58" t="s">
        <v>11</v>
      </c>
      <c r="F121" s="31">
        <v>17.405000000000001</v>
      </c>
      <c r="G121" s="31">
        <v>15.675000000000001</v>
      </c>
      <c r="H121" s="19">
        <f t="shared" si="13"/>
        <v>1.7300000000000004</v>
      </c>
      <c r="I121" s="56"/>
      <c r="J121" s="65"/>
      <c r="K121" s="55"/>
      <c r="L121" s="31">
        <v>0</v>
      </c>
      <c r="M121" s="31">
        <v>0</v>
      </c>
      <c r="N121" s="16"/>
      <c r="O121" s="56"/>
      <c r="P121" s="76"/>
      <c r="Q121" s="81"/>
      <c r="R121" s="81"/>
      <c r="S121" s="81"/>
      <c r="T121" s="81"/>
    </row>
    <row r="122" spans="2:20" ht="26" x14ac:dyDescent="0.35">
      <c r="B122" s="23"/>
      <c r="C122" s="21"/>
      <c r="D122" s="22"/>
      <c r="E122" s="58" t="s">
        <v>76</v>
      </c>
      <c r="F122" s="31">
        <v>7.7590000000000003</v>
      </c>
      <c r="G122" s="31">
        <f>6.355+0.205</f>
        <v>6.5600000000000005</v>
      </c>
      <c r="H122" s="19">
        <f t="shared" si="13"/>
        <v>1.1989999999999998</v>
      </c>
      <c r="I122" s="56"/>
      <c r="J122" s="65"/>
      <c r="K122" s="55"/>
      <c r="L122" s="31">
        <v>18.190000000000001</v>
      </c>
      <c r="M122" s="31">
        <v>34.302</v>
      </c>
      <c r="N122" s="16">
        <f t="shared" si="14"/>
        <v>-16.111999999999998</v>
      </c>
      <c r="O122" s="56"/>
      <c r="P122" s="76"/>
      <c r="Q122" s="81"/>
      <c r="R122" s="81"/>
      <c r="S122" s="81"/>
      <c r="T122" s="81"/>
    </row>
    <row r="123" spans="2:20" x14ac:dyDescent="0.35">
      <c r="B123" s="23"/>
      <c r="C123" s="21"/>
      <c r="D123" s="22"/>
      <c r="E123" s="58" t="s">
        <v>75</v>
      </c>
      <c r="F123" s="31">
        <v>4.0570000000000004</v>
      </c>
      <c r="G123" s="31">
        <v>0</v>
      </c>
      <c r="H123" s="19">
        <f t="shared" si="13"/>
        <v>4.0570000000000004</v>
      </c>
      <c r="I123" s="56"/>
      <c r="J123" s="65"/>
      <c r="K123" s="55"/>
      <c r="L123" s="31">
        <v>0</v>
      </c>
      <c r="M123" s="31">
        <v>0</v>
      </c>
      <c r="N123" s="16"/>
      <c r="O123" s="56"/>
      <c r="P123" s="76"/>
      <c r="R123" s="82"/>
      <c r="S123" s="81"/>
      <c r="T123" s="81"/>
    </row>
    <row r="124" spans="2:20" x14ac:dyDescent="0.35">
      <c r="B124" s="23"/>
      <c r="C124" s="21"/>
      <c r="D124" s="22"/>
      <c r="E124" s="58" t="s">
        <v>74</v>
      </c>
      <c r="F124" s="31">
        <v>7.2370000000000001</v>
      </c>
      <c r="G124" s="31">
        <v>6.1959999999999997</v>
      </c>
      <c r="H124" s="19">
        <f t="shared" si="13"/>
        <v>1.0410000000000004</v>
      </c>
      <c r="I124" s="56"/>
      <c r="J124" s="38"/>
      <c r="K124" s="55"/>
      <c r="L124" s="31">
        <v>4.47</v>
      </c>
      <c r="M124" s="31">
        <v>4.8869999999999996</v>
      </c>
      <c r="N124" s="16">
        <f t="shared" si="14"/>
        <v>-0.41699999999999982</v>
      </c>
      <c r="O124" s="56"/>
      <c r="P124" s="76"/>
      <c r="R124" s="82"/>
      <c r="S124" s="81"/>
      <c r="T124" s="81"/>
    </row>
    <row r="125" spans="2:20" x14ac:dyDescent="0.35">
      <c r="B125" s="23"/>
      <c r="C125" s="21"/>
      <c r="D125" s="22"/>
      <c r="E125" s="58" t="s">
        <v>73</v>
      </c>
      <c r="F125" s="31">
        <v>6.165</v>
      </c>
      <c r="G125" s="31">
        <v>3.0539999999999998</v>
      </c>
      <c r="H125" s="19">
        <f t="shared" si="13"/>
        <v>3.1110000000000002</v>
      </c>
      <c r="I125" s="56"/>
      <c r="J125" s="38"/>
      <c r="K125" s="55"/>
      <c r="L125" s="31">
        <v>0</v>
      </c>
      <c r="M125" s="31">
        <v>0</v>
      </c>
      <c r="N125" s="16"/>
      <c r="O125" s="56"/>
      <c r="P125" s="75"/>
    </row>
    <row r="126" spans="2:20" x14ac:dyDescent="0.35">
      <c r="B126" s="23"/>
      <c r="C126" s="21"/>
      <c r="D126" s="22"/>
      <c r="E126" s="58"/>
      <c r="F126" s="31"/>
      <c r="G126" s="31"/>
      <c r="H126" s="19"/>
      <c r="I126" s="56"/>
      <c r="J126" s="38"/>
      <c r="K126" s="55"/>
      <c r="L126" s="71"/>
      <c r="M126" s="71"/>
      <c r="N126" s="70"/>
      <c r="O126" s="80"/>
      <c r="P126" s="75"/>
    </row>
    <row r="127" spans="2:20" x14ac:dyDescent="0.35">
      <c r="B127" s="13"/>
      <c r="C127" s="12"/>
      <c r="D127" s="144" t="s">
        <v>50</v>
      </c>
      <c r="E127" s="145"/>
      <c r="F127" s="9">
        <f>SUM(F117:F125)</f>
        <v>293.69500000000005</v>
      </c>
      <c r="G127" s="9">
        <f>SUM(G117:G125)</f>
        <v>363.16200000000003</v>
      </c>
      <c r="H127" s="9">
        <f>SUM(H117:H125)</f>
        <v>-69.466999999999999</v>
      </c>
      <c r="I127" s="8">
        <f>H127/G127</f>
        <v>-0.19128377969060636</v>
      </c>
      <c r="J127" s="66">
        <v>6</v>
      </c>
      <c r="K127" s="64"/>
      <c r="L127" s="9">
        <f>SUM(L117:L125)</f>
        <v>35.728000000000002</v>
      </c>
      <c r="M127" s="9">
        <f>SUM(M117:M125)</f>
        <v>40.768000000000001</v>
      </c>
      <c r="N127" s="9">
        <f>SUM(N117:N125)</f>
        <v>-5.0399999999999991</v>
      </c>
      <c r="O127" s="8">
        <f>N127/M127</f>
        <v>-0.1236263736263736</v>
      </c>
      <c r="P127" s="66"/>
    </row>
    <row r="128" spans="2:20" x14ac:dyDescent="0.35">
      <c r="B128" s="51"/>
      <c r="C128" s="49"/>
      <c r="D128" s="49"/>
      <c r="E128" s="49"/>
      <c r="F128" s="51"/>
      <c r="G128" s="51"/>
      <c r="H128" s="49"/>
      <c r="I128" s="60"/>
      <c r="J128" s="59"/>
      <c r="K128" s="49"/>
      <c r="L128" s="49"/>
      <c r="M128" s="49"/>
      <c r="N128" s="49"/>
      <c r="O128" s="48"/>
      <c r="P128" s="47"/>
    </row>
    <row r="129" spans="2:19" ht="39" x14ac:dyDescent="0.35">
      <c r="B129" s="23" t="s">
        <v>72</v>
      </c>
      <c r="C129" s="21"/>
      <c r="D129" s="22" t="s">
        <v>71</v>
      </c>
      <c r="E129" s="58" t="s">
        <v>70</v>
      </c>
      <c r="F129" s="31">
        <v>57.2</v>
      </c>
      <c r="G129" s="31">
        <f>126.868+0.145</f>
        <v>127.01299999999999</v>
      </c>
      <c r="H129" s="19">
        <f t="shared" ref="H129:H142" si="15">F129-G129</f>
        <v>-69.812999999999988</v>
      </c>
      <c r="I129" s="56">
        <f>H129/G129</f>
        <v>-0.54965239778605335</v>
      </c>
      <c r="J129" s="65">
        <v>7</v>
      </c>
      <c r="K129" s="55"/>
      <c r="L129" s="79">
        <v>0</v>
      </c>
      <c r="M129" s="79">
        <v>0</v>
      </c>
      <c r="N129" s="78"/>
      <c r="O129" s="77"/>
      <c r="P129" s="75"/>
      <c r="R129" s="81"/>
    </row>
    <row r="130" spans="2:19" ht="26" x14ac:dyDescent="0.35">
      <c r="B130" s="23"/>
      <c r="C130" s="21"/>
      <c r="D130" s="22"/>
      <c r="E130" s="58" t="s">
        <v>69</v>
      </c>
      <c r="F130" s="31">
        <v>87.983000000000004</v>
      </c>
      <c r="G130" s="31">
        <v>0.79800000000000004</v>
      </c>
      <c r="H130" s="19">
        <f t="shared" si="15"/>
        <v>87.185000000000002</v>
      </c>
      <c r="I130" s="56">
        <f>H130/G130</f>
        <v>109.25438596491227</v>
      </c>
      <c r="J130" s="65">
        <v>7</v>
      </c>
      <c r="K130" s="55"/>
      <c r="L130" s="31">
        <v>1.2999999999999999E-3</v>
      </c>
      <c r="M130" s="31">
        <v>1.2999999999999999E-3</v>
      </c>
      <c r="N130" s="16"/>
      <c r="O130" s="56"/>
      <c r="P130" s="75"/>
      <c r="R130" s="81"/>
    </row>
    <row r="131" spans="2:19" x14ac:dyDescent="0.35">
      <c r="B131" s="23"/>
      <c r="C131" s="21"/>
      <c r="D131" s="22"/>
      <c r="E131" s="58" t="s">
        <v>68</v>
      </c>
      <c r="F131" s="31">
        <v>3992.9319999999998</v>
      </c>
      <c r="G131" s="31">
        <v>764.89599999999996</v>
      </c>
      <c r="H131" s="19">
        <f t="shared" si="15"/>
        <v>3228.0360000000001</v>
      </c>
      <c r="I131" s="56">
        <f>H131/G131</f>
        <v>4.2202286323892402</v>
      </c>
      <c r="J131" s="65">
        <v>7</v>
      </c>
      <c r="K131" s="55"/>
      <c r="L131" s="31">
        <v>0</v>
      </c>
      <c r="M131" s="31">
        <v>0</v>
      </c>
      <c r="N131" s="16"/>
      <c r="O131" s="56"/>
      <c r="P131" s="75"/>
      <c r="R131" s="81"/>
    </row>
    <row r="132" spans="2:19" x14ac:dyDescent="0.35">
      <c r="B132" s="23"/>
      <c r="C132" s="21"/>
      <c r="D132" s="22"/>
      <c r="E132" s="58" t="s">
        <v>67</v>
      </c>
      <c r="F132" s="31">
        <v>-1298.2159999999999</v>
      </c>
      <c r="G132" s="31">
        <v>-807.943127</v>
      </c>
      <c r="H132" s="19">
        <f t="shared" si="15"/>
        <v>-490.27287299999989</v>
      </c>
      <c r="I132" s="56">
        <f>H132/G132</f>
        <v>0.60681606986428371</v>
      </c>
      <c r="J132" s="65">
        <v>7</v>
      </c>
      <c r="K132" s="55"/>
      <c r="L132" s="31"/>
      <c r="M132" s="31"/>
      <c r="N132" s="16"/>
      <c r="O132" s="56"/>
      <c r="P132" s="75"/>
    </row>
    <row r="133" spans="2:19" x14ac:dyDescent="0.35">
      <c r="B133" s="23"/>
      <c r="C133" s="21"/>
      <c r="D133" s="22"/>
      <c r="E133" s="58" t="s">
        <v>66</v>
      </c>
      <c r="F133" s="31">
        <v>20</v>
      </c>
      <c r="G133" s="31">
        <v>0</v>
      </c>
      <c r="H133" s="19">
        <f t="shared" si="15"/>
        <v>20</v>
      </c>
      <c r="I133" s="56">
        <f>H133/F133</f>
        <v>1</v>
      </c>
      <c r="J133" s="65">
        <v>7</v>
      </c>
      <c r="K133" s="55"/>
      <c r="L133" s="71"/>
      <c r="M133" s="71"/>
      <c r="N133" s="70"/>
      <c r="O133" s="80"/>
      <c r="P133" s="75"/>
    </row>
    <row r="134" spans="2:19" x14ac:dyDescent="0.35">
      <c r="B134" s="13"/>
      <c r="C134" s="12"/>
      <c r="D134" s="144" t="s">
        <v>50</v>
      </c>
      <c r="E134" s="145"/>
      <c r="F134" s="9">
        <f>SUM(F129:F133)</f>
        <v>2859.8989999999999</v>
      </c>
      <c r="G134" s="9">
        <f>SUM(G129:G133)</f>
        <v>84.76387299999999</v>
      </c>
      <c r="H134" s="9">
        <f t="shared" si="15"/>
        <v>2775.135127</v>
      </c>
      <c r="I134" s="8">
        <f>H134/G134</f>
        <v>32.739598000671826</v>
      </c>
      <c r="J134" s="66">
        <v>7</v>
      </c>
      <c r="K134" s="64"/>
      <c r="L134" s="9">
        <f>SUM(L129:L131)</f>
        <v>1.2999999999999999E-3</v>
      </c>
      <c r="M134" s="9">
        <f>SUM(M129:M131)</f>
        <v>1.2999999999999999E-3</v>
      </c>
      <c r="N134" s="9"/>
      <c r="O134" s="8"/>
      <c r="P134" s="63"/>
    </row>
    <row r="135" spans="2:19" x14ac:dyDescent="0.35">
      <c r="B135" s="51"/>
      <c r="C135" s="49"/>
      <c r="D135" s="49"/>
      <c r="E135" s="49"/>
      <c r="F135" s="51"/>
      <c r="G135" s="51"/>
      <c r="H135" s="49">
        <f t="shared" si="15"/>
        <v>0</v>
      </c>
      <c r="I135" s="60"/>
      <c r="J135" s="59"/>
      <c r="K135" s="49"/>
      <c r="L135" s="49"/>
      <c r="M135" s="49"/>
      <c r="N135" s="49"/>
      <c r="O135" s="48"/>
      <c r="P135" s="47"/>
    </row>
    <row r="136" spans="2:19" ht="26" x14ac:dyDescent="0.35">
      <c r="B136" s="23" t="s">
        <v>65</v>
      </c>
      <c r="C136" s="21"/>
      <c r="D136" s="22" t="s">
        <v>9</v>
      </c>
      <c r="E136" s="58" t="s">
        <v>64</v>
      </c>
      <c r="F136" s="31">
        <v>7</v>
      </c>
      <c r="G136" s="31">
        <v>0</v>
      </c>
      <c r="H136" s="19">
        <f t="shared" si="15"/>
        <v>7</v>
      </c>
      <c r="I136" s="56">
        <f>H136/F136</f>
        <v>1</v>
      </c>
      <c r="J136" s="65">
        <v>8</v>
      </c>
      <c r="K136" s="55"/>
      <c r="L136" s="79"/>
      <c r="M136" s="79"/>
      <c r="N136" s="78"/>
      <c r="O136" s="77"/>
      <c r="P136" s="75"/>
      <c r="R136" s="67"/>
      <c r="S136" s="67"/>
    </row>
    <row r="137" spans="2:19" ht="26" x14ac:dyDescent="0.35">
      <c r="B137" s="23"/>
      <c r="C137" s="21"/>
      <c r="D137" s="22"/>
      <c r="E137" s="58" t="s">
        <v>63</v>
      </c>
      <c r="F137" s="31">
        <v>8.1289999999999996</v>
      </c>
      <c r="G137" s="31">
        <v>8.5190000000000001</v>
      </c>
      <c r="H137" s="19">
        <f t="shared" si="15"/>
        <v>-0.39000000000000057</v>
      </c>
      <c r="I137" s="56"/>
      <c r="J137" s="65"/>
      <c r="K137" s="55"/>
      <c r="L137" s="31">
        <v>705.53</v>
      </c>
      <c r="M137" s="31">
        <v>404.21600000000001</v>
      </c>
      <c r="N137" s="16">
        <f>L137-M137</f>
        <v>301.31399999999996</v>
      </c>
      <c r="O137" s="56">
        <f>N137/M137</f>
        <v>0.74542818690996882</v>
      </c>
      <c r="P137" s="76">
        <v>19</v>
      </c>
      <c r="R137" s="67"/>
      <c r="S137" s="67"/>
    </row>
    <row r="138" spans="2:19" ht="26" x14ac:dyDescent="0.35">
      <c r="B138" s="23"/>
      <c r="C138" s="21"/>
      <c r="D138" s="22"/>
      <c r="E138" s="58" t="s">
        <v>62</v>
      </c>
      <c r="F138" s="31">
        <v>7.4999999999999997E-2</v>
      </c>
      <c r="G138" s="31">
        <v>2.8000000000000001E-2</v>
      </c>
      <c r="H138" s="19"/>
      <c r="I138" s="56"/>
      <c r="J138" s="65"/>
      <c r="K138" s="55"/>
      <c r="L138" s="31">
        <v>0</v>
      </c>
      <c r="M138" s="31">
        <v>0</v>
      </c>
      <c r="N138" s="16"/>
      <c r="O138" s="56"/>
      <c r="P138" s="76"/>
      <c r="R138" s="67"/>
      <c r="S138" s="67"/>
    </row>
    <row r="139" spans="2:19" ht="26" x14ac:dyDescent="0.35">
      <c r="B139" s="23"/>
      <c r="C139" s="21"/>
      <c r="D139" s="22"/>
      <c r="E139" s="58" t="s">
        <v>61</v>
      </c>
      <c r="F139" s="31">
        <v>2.61</v>
      </c>
      <c r="G139" s="31">
        <v>1.5049999999999999</v>
      </c>
      <c r="H139" s="19">
        <f t="shared" si="15"/>
        <v>1.105</v>
      </c>
      <c r="I139" s="56"/>
      <c r="J139" s="65"/>
      <c r="K139" s="55"/>
      <c r="L139" s="31">
        <v>6</v>
      </c>
      <c r="M139" s="31">
        <v>1.466</v>
      </c>
      <c r="N139" s="16">
        <f>L139-M139</f>
        <v>4.5339999999999998</v>
      </c>
      <c r="O139" s="56"/>
      <c r="P139" s="75"/>
      <c r="R139" s="67"/>
      <c r="S139" s="67"/>
    </row>
    <row r="140" spans="2:19" x14ac:dyDescent="0.35">
      <c r="B140" s="23"/>
      <c r="C140" s="21"/>
      <c r="D140" s="22"/>
      <c r="E140" s="58" t="s">
        <v>60</v>
      </c>
      <c r="F140" s="31">
        <v>83.42</v>
      </c>
      <c r="G140" s="31">
        <v>54.908999999999999</v>
      </c>
      <c r="H140" s="19">
        <f t="shared" si="15"/>
        <v>28.511000000000003</v>
      </c>
      <c r="I140" s="56">
        <f>H140/G140</f>
        <v>0.51924092589557269</v>
      </c>
      <c r="J140" s="65">
        <v>8</v>
      </c>
      <c r="K140" s="55"/>
      <c r="L140" s="31">
        <v>0</v>
      </c>
      <c r="M140" s="31">
        <v>0.17100000000000001</v>
      </c>
      <c r="N140" s="16">
        <f>L140-M140</f>
        <v>-0.17100000000000001</v>
      </c>
      <c r="O140" s="56"/>
      <c r="P140" s="75"/>
      <c r="R140" s="67"/>
      <c r="S140" s="67"/>
    </row>
    <row r="141" spans="2:19" ht="26" x14ac:dyDescent="0.35">
      <c r="B141" s="23"/>
      <c r="C141" s="21"/>
      <c r="D141" s="22"/>
      <c r="E141" s="58" t="s">
        <v>59</v>
      </c>
      <c r="F141" s="31">
        <v>0</v>
      </c>
      <c r="G141" s="31">
        <v>0</v>
      </c>
      <c r="H141" s="19"/>
      <c r="I141" s="56"/>
      <c r="J141" s="65"/>
      <c r="K141" s="55"/>
      <c r="L141" s="31"/>
      <c r="M141" s="31"/>
      <c r="N141" s="16"/>
      <c r="O141" s="56"/>
      <c r="P141" s="75"/>
      <c r="R141" s="67"/>
      <c r="S141" s="67"/>
    </row>
    <row r="142" spans="2:19" ht="26" x14ac:dyDescent="0.35">
      <c r="B142" s="23"/>
      <c r="C142" s="22"/>
      <c r="D142" s="21"/>
      <c r="E142" s="74" t="s">
        <v>58</v>
      </c>
      <c r="F142" s="31">
        <v>0.5</v>
      </c>
      <c r="G142" s="31">
        <v>0.05</v>
      </c>
      <c r="H142" s="19">
        <f t="shared" si="15"/>
        <v>0.45</v>
      </c>
      <c r="I142" s="56"/>
      <c r="J142" s="25"/>
      <c r="K142" s="72"/>
      <c r="L142" s="31"/>
      <c r="M142" s="31"/>
      <c r="N142" s="16"/>
      <c r="O142" s="73"/>
      <c r="P142" s="68"/>
      <c r="R142" s="67"/>
      <c r="S142" s="67"/>
    </row>
    <row r="143" spans="2:19" x14ac:dyDescent="0.35">
      <c r="B143" s="23"/>
      <c r="C143" s="22"/>
      <c r="D143" s="21"/>
      <c r="E143" s="74"/>
      <c r="F143" s="31"/>
      <c r="G143" s="31"/>
      <c r="H143" s="19"/>
      <c r="I143" s="73"/>
      <c r="J143" s="25"/>
      <c r="K143" s="72"/>
      <c r="L143" s="71"/>
      <c r="M143" s="71"/>
      <c r="N143" s="70"/>
      <c r="O143" s="69"/>
      <c r="P143" s="68"/>
      <c r="R143" s="67"/>
      <c r="S143" s="67"/>
    </row>
    <row r="144" spans="2:19" x14ac:dyDescent="0.35">
      <c r="B144" s="13"/>
      <c r="C144" s="12"/>
      <c r="D144" s="144" t="s">
        <v>50</v>
      </c>
      <c r="E144" s="145"/>
      <c r="F144" s="9">
        <f>SUM(F136:F142)</f>
        <v>101.73400000000001</v>
      </c>
      <c r="G144" s="9">
        <f>SUM(G136:G142)</f>
        <v>65.010999999999996</v>
      </c>
      <c r="H144" s="9">
        <f>F144-G144</f>
        <v>36.723000000000013</v>
      </c>
      <c r="I144" s="8"/>
      <c r="J144" s="66">
        <v>8</v>
      </c>
      <c r="K144" s="64"/>
      <c r="L144" s="9">
        <f>SUM(L136:L142)</f>
        <v>711.53</v>
      </c>
      <c r="M144" s="9">
        <f>SUM(M136:M142)</f>
        <v>405.85300000000001</v>
      </c>
      <c r="N144" s="9">
        <f>SUM(N136:N142)</f>
        <v>305.67699999999996</v>
      </c>
      <c r="O144" s="8">
        <f>N144/M144</f>
        <v>0.7531717148819892</v>
      </c>
      <c r="P144" s="66">
        <v>19</v>
      </c>
      <c r="S144" s="97"/>
    </row>
    <row r="145" spans="2:16" x14ac:dyDescent="0.35">
      <c r="B145" s="51"/>
      <c r="C145" s="49"/>
      <c r="D145" s="49"/>
      <c r="E145" s="49"/>
      <c r="F145" s="51"/>
      <c r="G145" s="51"/>
      <c r="H145" s="49"/>
      <c r="I145" s="60"/>
      <c r="J145" s="59"/>
      <c r="K145" s="49"/>
      <c r="L145" s="49"/>
      <c r="M145" s="49"/>
      <c r="N145" s="49"/>
      <c r="O145" s="48"/>
      <c r="P145" s="47"/>
    </row>
    <row r="146" spans="2:16" ht="26" x14ac:dyDescent="0.35">
      <c r="B146" s="23" t="s">
        <v>57</v>
      </c>
      <c r="C146" s="21"/>
      <c r="D146" s="22" t="s">
        <v>56</v>
      </c>
      <c r="E146" s="58"/>
      <c r="F146" s="31">
        <v>0</v>
      </c>
      <c r="G146" s="31">
        <v>11.331</v>
      </c>
      <c r="H146" s="9">
        <f>F146-G146</f>
        <v>-11.331</v>
      </c>
      <c r="I146" s="8">
        <f>H146/G146</f>
        <v>-1</v>
      </c>
      <c r="J146" s="65">
        <v>9</v>
      </c>
      <c r="K146" s="55"/>
      <c r="L146" s="16">
        <v>430.721</v>
      </c>
      <c r="M146" s="16">
        <v>360</v>
      </c>
      <c r="N146" s="16">
        <f>L146-M146</f>
        <v>70.721000000000004</v>
      </c>
      <c r="O146" s="8">
        <f>N146/M146</f>
        <v>0.19644722222222225</v>
      </c>
      <c r="P146" s="65">
        <v>20</v>
      </c>
    </row>
    <row r="147" spans="2:16" x14ac:dyDescent="0.35">
      <c r="B147" s="51"/>
      <c r="C147" s="49"/>
      <c r="D147" s="49"/>
      <c r="E147" s="49"/>
      <c r="F147" s="51"/>
      <c r="G147" s="51"/>
      <c r="H147" s="49"/>
      <c r="I147" s="60"/>
      <c r="J147" s="59"/>
      <c r="K147" s="49"/>
      <c r="L147" s="49"/>
      <c r="M147" s="49"/>
      <c r="N147" s="49"/>
      <c r="O147" s="48"/>
      <c r="P147" s="47"/>
    </row>
    <row r="148" spans="2:16" ht="26" x14ac:dyDescent="0.35">
      <c r="B148" s="23" t="s">
        <v>55</v>
      </c>
      <c r="C148" s="21"/>
      <c r="D148" s="22" t="s">
        <v>5</v>
      </c>
      <c r="E148" s="58"/>
      <c r="F148" s="31">
        <v>254.70599999999999</v>
      </c>
      <c r="G148" s="31">
        <v>259.10000000000002</v>
      </c>
      <c r="H148" s="19">
        <f>F148-G148</f>
        <v>-4.3940000000000339</v>
      </c>
      <c r="I148" s="56">
        <f>H148/G148</f>
        <v>-1.69587032033965E-2</v>
      </c>
      <c r="J148" s="65"/>
      <c r="K148" s="55"/>
      <c r="L148" s="16">
        <v>4056.5</v>
      </c>
      <c r="M148" s="16">
        <v>2311.5100000000002</v>
      </c>
      <c r="N148" s="16">
        <f>L148-M148</f>
        <v>1744.9899999999998</v>
      </c>
      <c r="O148" s="18">
        <f>N148/M148</f>
        <v>0.75491345484120753</v>
      </c>
      <c r="P148" s="65">
        <v>21</v>
      </c>
    </row>
    <row r="149" spans="2:16" x14ac:dyDescent="0.35">
      <c r="B149" s="51"/>
      <c r="C149" s="49"/>
      <c r="D149" s="49"/>
      <c r="E149" s="49"/>
      <c r="F149" s="51"/>
      <c r="G149" s="51"/>
      <c r="H149" s="49"/>
      <c r="I149" s="60"/>
      <c r="J149" s="59"/>
      <c r="K149" s="49"/>
      <c r="L149" s="49"/>
      <c r="M149" s="49"/>
      <c r="N149" s="49"/>
      <c r="O149" s="48"/>
      <c r="P149" s="47"/>
    </row>
    <row r="150" spans="2:16" x14ac:dyDescent="0.35">
      <c r="B150" s="23" t="s">
        <v>54</v>
      </c>
      <c r="C150" s="21"/>
      <c r="D150" s="144" t="s">
        <v>7</v>
      </c>
      <c r="E150" s="145"/>
      <c r="F150" s="9">
        <v>35.875</v>
      </c>
      <c r="G150" s="9">
        <v>23.54</v>
      </c>
      <c r="H150" s="9">
        <f>F150-G150</f>
        <v>12.335000000000001</v>
      </c>
      <c r="I150" s="8">
        <f>H150/G150</f>
        <v>0.52400169923534412</v>
      </c>
      <c r="J150" s="65">
        <v>10</v>
      </c>
      <c r="K150" s="64"/>
      <c r="L150" s="9">
        <v>0.9</v>
      </c>
      <c r="M150" s="9">
        <v>4.032</v>
      </c>
      <c r="N150" s="9">
        <f>L150-M150</f>
        <v>-3.1320000000000001</v>
      </c>
      <c r="O150" s="8"/>
      <c r="P150" s="63"/>
    </row>
    <row r="151" spans="2:16" x14ac:dyDescent="0.35">
      <c r="B151" s="51"/>
      <c r="C151" s="49"/>
      <c r="D151" s="49"/>
      <c r="E151" s="49"/>
      <c r="F151" s="51"/>
      <c r="G151" s="51"/>
      <c r="H151" s="49"/>
      <c r="I151" s="60"/>
      <c r="J151" s="59"/>
      <c r="K151" s="49"/>
      <c r="L151" s="49"/>
      <c r="M151" s="49"/>
      <c r="N151" s="49"/>
      <c r="O151" s="48"/>
      <c r="P151" s="47"/>
    </row>
    <row r="152" spans="2:16" x14ac:dyDescent="0.35">
      <c r="B152" s="13" t="s">
        <v>53</v>
      </c>
      <c r="C152" s="12"/>
      <c r="D152" s="144" t="s">
        <v>52</v>
      </c>
      <c r="E152" s="145"/>
      <c r="F152" s="9">
        <v>6790.4390000000003</v>
      </c>
      <c r="G152" s="9">
        <v>6516.1530000000002</v>
      </c>
      <c r="H152" s="9">
        <f>F152-G152</f>
        <v>274.28600000000006</v>
      </c>
      <c r="I152" s="8">
        <f>H152/G152</f>
        <v>4.2093241211493965E-2</v>
      </c>
      <c r="J152" s="62"/>
      <c r="K152" s="53"/>
      <c r="L152" s="9">
        <v>5327.1390000000001</v>
      </c>
      <c r="M152" s="9">
        <v>4768.2870000000003</v>
      </c>
      <c r="N152" s="9">
        <f>L152-M152</f>
        <v>558.85199999999986</v>
      </c>
      <c r="O152" s="8">
        <f>N152/M152</f>
        <v>0.11720183789272748</v>
      </c>
      <c r="P152" s="61">
        <v>22</v>
      </c>
    </row>
    <row r="153" spans="2:16" x14ac:dyDescent="0.35">
      <c r="B153" s="51"/>
      <c r="C153" s="49"/>
      <c r="D153" s="49"/>
      <c r="E153" s="49"/>
      <c r="F153" s="51"/>
      <c r="G153" s="51"/>
      <c r="H153" s="49"/>
      <c r="I153" s="60"/>
      <c r="J153" s="59"/>
      <c r="K153" s="49"/>
      <c r="L153" s="49"/>
      <c r="M153" s="49"/>
      <c r="N153" s="49"/>
      <c r="O153" s="48"/>
      <c r="P153" s="47"/>
    </row>
    <row r="154" spans="2:16" ht="26" x14ac:dyDescent="0.35">
      <c r="B154" s="23" t="s">
        <v>51</v>
      </c>
      <c r="C154" s="21"/>
      <c r="D154" s="22" t="s">
        <v>3</v>
      </c>
      <c r="E154" s="58" t="s">
        <v>2</v>
      </c>
      <c r="F154" s="31">
        <v>5.274</v>
      </c>
      <c r="G154" s="31">
        <v>4.9000000000000004</v>
      </c>
      <c r="H154" s="57">
        <v>0.87000000000000011</v>
      </c>
      <c r="I154" s="56"/>
      <c r="J154" s="38"/>
      <c r="K154" s="55"/>
      <c r="L154" s="16">
        <v>0</v>
      </c>
      <c r="M154" s="16">
        <v>2.0419999999999998</v>
      </c>
      <c r="N154" s="19">
        <f>L154-M154</f>
        <v>-2.0419999999999998</v>
      </c>
      <c r="O154" s="18"/>
      <c r="P154" s="38"/>
    </row>
    <row r="155" spans="2:16" x14ac:dyDescent="0.35">
      <c r="B155" s="23"/>
      <c r="C155" s="21"/>
      <c r="D155" s="22"/>
      <c r="E155" s="58" t="s">
        <v>1</v>
      </c>
      <c r="F155" s="31">
        <v>7.4</v>
      </c>
      <c r="G155" s="31">
        <v>7.7</v>
      </c>
      <c r="H155" s="57">
        <v>-0.6949999999999994</v>
      </c>
      <c r="I155" s="56"/>
      <c r="J155" s="38"/>
      <c r="K155" s="55"/>
      <c r="L155" s="16"/>
      <c r="M155" s="16"/>
      <c r="N155" s="16"/>
      <c r="O155" s="18"/>
      <c r="P155" s="38"/>
    </row>
    <row r="156" spans="2:16" ht="26" x14ac:dyDescent="0.35">
      <c r="B156" s="23"/>
      <c r="C156" s="21"/>
      <c r="D156" s="22"/>
      <c r="E156" s="58" t="s">
        <v>0</v>
      </c>
      <c r="F156" s="31">
        <v>0.502</v>
      </c>
      <c r="G156" s="31">
        <v>0.55200000000000005</v>
      </c>
      <c r="H156" s="57"/>
      <c r="I156" s="56"/>
      <c r="J156" s="38"/>
      <c r="K156" s="55"/>
      <c r="L156" s="16"/>
      <c r="M156" s="16"/>
      <c r="N156" s="16"/>
      <c r="O156" s="18"/>
      <c r="P156" s="38"/>
    </row>
    <row r="157" spans="2:16" x14ac:dyDescent="0.35">
      <c r="B157" s="23"/>
      <c r="C157" s="21"/>
      <c r="D157" s="22"/>
      <c r="E157" s="58"/>
      <c r="F157" s="31"/>
      <c r="G157" s="31"/>
      <c r="H157" s="57"/>
      <c r="I157" s="56"/>
      <c r="J157" s="38"/>
      <c r="K157" s="55"/>
      <c r="L157" s="16"/>
      <c r="M157" s="16"/>
      <c r="N157" s="16"/>
      <c r="O157" s="54"/>
      <c r="P157" s="38"/>
    </row>
    <row r="158" spans="2:16" x14ac:dyDescent="0.35">
      <c r="B158" s="13"/>
      <c r="C158" s="12"/>
      <c r="D158" s="144" t="s">
        <v>50</v>
      </c>
      <c r="E158" s="145"/>
      <c r="F158" s="9">
        <f>SUM(F154:F156)</f>
        <v>13.176</v>
      </c>
      <c r="G158" s="9">
        <f>SUM(G154:G156)</f>
        <v>13.152000000000001</v>
      </c>
      <c r="H158" s="9">
        <v>0.18800000000000061</v>
      </c>
      <c r="I158" s="8">
        <f>H158/G158</f>
        <v>1.4294403892944084E-2</v>
      </c>
      <c r="J158" s="52"/>
      <c r="K158" s="53"/>
      <c r="L158" s="9">
        <f>SUM(L154:L157)</f>
        <v>0</v>
      </c>
      <c r="M158" s="9">
        <f>SUM(M154:M157)</f>
        <v>2.0419999999999998</v>
      </c>
      <c r="N158" s="9">
        <f>SUM(N154:N157)</f>
        <v>-2.0419999999999998</v>
      </c>
      <c r="O158" s="8"/>
      <c r="P158" s="52"/>
    </row>
    <row r="159" spans="2:16" x14ac:dyDescent="0.35">
      <c r="B159" s="51"/>
      <c r="C159" s="49"/>
      <c r="D159" s="49"/>
      <c r="E159" s="49"/>
      <c r="F159" s="49"/>
      <c r="G159" s="49"/>
      <c r="H159" s="49"/>
      <c r="I159" s="48"/>
      <c r="J159" s="50"/>
      <c r="K159" s="49"/>
      <c r="L159" s="49"/>
      <c r="M159" s="49"/>
      <c r="N159" s="49"/>
      <c r="O159" s="48"/>
      <c r="P159" s="47"/>
    </row>
    <row r="160" spans="2:16" x14ac:dyDescent="0.35">
      <c r="F160" s="46">
        <f>F158+F152+F150+F148+F146+F144+F134+F127+F115+F102+F91+F89+F70+F68+F66+F60++F52+++F34+F27+F19+F10-0.1</f>
        <v>14192.25767262</v>
      </c>
      <c r="G160" s="46">
        <f>G158+G152+G150+G148+G146+G144+G134+G127+G115+G102+G91+G89+G70+G68+G66+G60++G52+++G34+G27+G19+G10</f>
        <v>11600.852093490004</v>
      </c>
      <c r="H160" s="46">
        <f>H158+H152+H150+H148+H146+H144+H134+H127+H115+H102+H91+H89+H70+H68+H66+H60++H52+++H34+H27+H19+H10</f>
        <v>2591.6695791299999</v>
      </c>
      <c r="I160" s="45">
        <f>H160/G160</f>
        <v>0.22340338091064491</v>
      </c>
      <c r="L160" s="46">
        <f>L158+L152+L150+L148+L146+L144+L134+L127+L115+L102+L91+L89+L70+L68+L66+L60++L52+++L34+L27+L19+L10</f>
        <v>18063.759300000002</v>
      </c>
      <c r="M160" s="46">
        <f>M158+M152+M150+M148+M146+M144+M134+M127+M115+M102+M91+M89+M70+M68+M66+M60++M52+++M34+M27+M19+M10</f>
        <v>14696.268300000003</v>
      </c>
      <c r="N160" s="46">
        <f>N158+N152+N150+N148+N146+N144+N134+N127+N115+N102+N91+N89+N70+N68+N66+N60++N52+++N34+N27+N19+N10</f>
        <v>3367.4910000000004</v>
      </c>
      <c r="O160" s="45">
        <f>N160/M160</f>
        <v>0.22913918902800651</v>
      </c>
    </row>
    <row r="162" spans="6:13" x14ac:dyDescent="0.35">
      <c r="F162" s="46"/>
      <c r="G162" s="46"/>
      <c r="L162" s="46"/>
      <c r="M162" s="46"/>
    </row>
    <row r="163" spans="6:13" x14ac:dyDescent="0.35">
      <c r="F163" s="46"/>
      <c r="G163" s="46"/>
    </row>
    <row r="164" spans="6:13" x14ac:dyDescent="0.35">
      <c r="F164" s="46"/>
      <c r="G164" s="46"/>
    </row>
  </sheetData>
  <mergeCells count="23">
    <mergeCell ref="A1:B1"/>
    <mergeCell ref="F3:J3"/>
    <mergeCell ref="L3:P3"/>
    <mergeCell ref="H4:I4"/>
    <mergeCell ref="N4:O4"/>
    <mergeCell ref="F5:H5"/>
    <mergeCell ref="L5:N5"/>
    <mergeCell ref="D10:E10"/>
    <mergeCell ref="D19:E19"/>
    <mergeCell ref="D27:E27"/>
    <mergeCell ref="D34:E34"/>
    <mergeCell ref="D52:E52"/>
    <mergeCell ref="D60:E60"/>
    <mergeCell ref="D144:E144"/>
    <mergeCell ref="D150:E150"/>
    <mergeCell ref="D152:E152"/>
    <mergeCell ref="D158:E158"/>
    <mergeCell ref="D66:E66"/>
    <mergeCell ref="D89:E89"/>
    <mergeCell ref="D102:E102"/>
    <mergeCell ref="D115:E115"/>
    <mergeCell ref="D127:E127"/>
    <mergeCell ref="D134:E134"/>
  </mergeCells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F740-4CED-49BC-952E-9C5DBF7CC22F}">
  <dimension ref="A1:P42"/>
  <sheetViews>
    <sheetView zoomScale="80" zoomScaleNormal="80" workbookViewId="0">
      <pane ySplit="5" topLeftCell="A30" activePane="bottomLeft" state="frozen"/>
      <selection pane="bottomLeft" activeCell="I49" sqref="I49"/>
    </sheetView>
  </sheetViews>
  <sheetFormatPr defaultColWidth="8.7265625" defaultRowHeight="13" x14ac:dyDescent="0.3"/>
  <cols>
    <col min="1" max="2" width="8.7265625" style="1"/>
    <col min="3" max="3" width="7.1796875" style="1" customWidth="1"/>
    <col min="4" max="5" width="19.453125" style="1" customWidth="1"/>
    <col min="6" max="6" width="14.26953125" style="1" customWidth="1"/>
    <col min="7" max="7" width="12.6328125" style="1" customWidth="1"/>
    <col min="8" max="11" width="8.7265625" style="1"/>
    <col min="12" max="12" width="12.1796875" style="1" customWidth="1"/>
    <col min="13" max="16384" width="8.7265625" style="1"/>
  </cols>
  <sheetData>
    <row r="1" spans="1:16" x14ac:dyDescent="0.3">
      <c r="A1" s="99"/>
    </row>
    <row r="2" spans="1:16" x14ac:dyDescent="0.3">
      <c r="B2" s="43">
        <v>1</v>
      </c>
      <c r="C2" s="43">
        <v>2</v>
      </c>
      <c r="D2" s="43">
        <v>3</v>
      </c>
      <c r="E2" s="43">
        <v>4</v>
      </c>
      <c r="F2" s="43">
        <v>5</v>
      </c>
      <c r="G2" s="43">
        <v>6</v>
      </c>
      <c r="H2" s="43">
        <v>7</v>
      </c>
      <c r="I2" s="43">
        <v>8</v>
      </c>
      <c r="J2" s="43">
        <v>9</v>
      </c>
      <c r="K2" s="43">
        <v>10</v>
      </c>
      <c r="L2" s="43">
        <v>11</v>
      </c>
      <c r="M2" s="43">
        <v>12</v>
      </c>
      <c r="N2" s="43">
        <v>13</v>
      </c>
      <c r="O2" s="43">
        <v>14</v>
      </c>
      <c r="P2" s="43">
        <v>15</v>
      </c>
    </row>
    <row r="3" spans="1:16" x14ac:dyDescent="0.3">
      <c r="B3" s="42" t="s">
        <v>49</v>
      </c>
      <c r="C3" s="42" t="s">
        <v>48</v>
      </c>
      <c r="D3" s="6" t="s">
        <v>47</v>
      </c>
      <c r="E3" s="3" t="s">
        <v>46</v>
      </c>
      <c r="F3" s="147" t="s">
        <v>45</v>
      </c>
      <c r="G3" s="147"/>
      <c r="H3" s="147"/>
      <c r="I3" s="147"/>
      <c r="J3" s="147"/>
      <c r="K3" s="41"/>
      <c r="L3" s="147" t="s">
        <v>44</v>
      </c>
      <c r="M3" s="147"/>
      <c r="N3" s="147"/>
      <c r="O3" s="147"/>
      <c r="P3" s="148"/>
    </row>
    <row r="4" spans="1:16" ht="52" x14ac:dyDescent="0.3">
      <c r="B4" s="40"/>
      <c r="C4" s="39"/>
      <c r="D4" s="21"/>
      <c r="E4" s="20"/>
      <c r="F4" s="37" t="s">
        <v>170</v>
      </c>
      <c r="G4" s="37" t="s">
        <v>43</v>
      </c>
      <c r="H4" s="153" t="s">
        <v>41</v>
      </c>
      <c r="I4" s="153"/>
      <c r="J4" s="95"/>
      <c r="K4" s="38"/>
      <c r="L4" s="37" t="s">
        <v>170</v>
      </c>
      <c r="M4" s="37" t="s">
        <v>42</v>
      </c>
      <c r="N4" s="153" t="s">
        <v>41</v>
      </c>
      <c r="O4" s="153"/>
      <c r="P4" s="36"/>
    </row>
    <row r="5" spans="1:16" ht="26" x14ac:dyDescent="0.3">
      <c r="B5" s="35" t="s">
        <v>40</v>
      </c>
      <c r="C5" s="34" t="s">
        <v>40</v>
      </c>
      <c r="D5" s="35" t="s">
        <v>40</v>
      </c>
      <c r="E5" s="34" t="s">
        <v>40</v>
      </c>
      <c r="F5" s="147" t="s">
        <v>39</v>
      </c>
      <c r="G5" s="147"/>
      <c r="H5" s="148"/>
      <c r="I5" s="33" t="s">
        <v>38</v>
      </c>
      <c r="J5" s="32" t="s">
        <v>37</v>
      </c>
      <c r="K5" s="31"/>
      <c r="L5" s="147" t="s">
        <v>39</v>
      </c>
      <c r="M5" s="147"/>
      <c r="N5" s="148"/>
      <c r="O5" s="9" t="s">
        <v>38</v>
      </c>
      <c r="P5" s="9" t="s">
        <v>37</v>
      </c>
    </row>
    <row r="6" spans="1:16" ht="26" x14ac:dyDescent="0.3">
      <c r="B6" s="23" t="s">
        <v>36</v>
      </c>
      <c r="C6" s="21"/>
      <c r="D6" s="22" t="s">
        <v>35</v>
      </c>
      <c r="E6" s="30"/>
      <c r="F6" s="16">
        <v>10</v>
      </c>
      <c r="G6" s="16">
        <v>-44.656999999999996</v>
      </c>
      <c r="H6" s="19">
        <f>F6-G6</f>
        <v>54.656999999999996</v>
      </c>
      <c r="I6" s="18">
        <f>H6/G6</f>
        <v>-1.223929059274022</v>
      </c>
      <c r="J6" s="28">
        <v>22</v>
      </c>
      <c r="K6" s="29"/>
      <c r="L6" s="16">
        <v>50</v>
      </c>
      <c r="M6" s="16">
        <v>45</v>
      </c>
      <c r="N6" s="16">
        <f>L6-M6</f>
        <v>5</v>
      </c>
      <c r="O6" s="18">
        <f>N6/M6</f>
        <v>0.1111111111111111</v>
      </c>
      <c r="P6" s="29"/>
    </row>
    <row r="7" spans="1:16" x14ac:dyDescent="0.3">
      <c r="B7" s="6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3"/>
    </row>
    <row r="8" spans="1:16" x14ac:dyDescent="0.3">
      <c r="B8" s="23" t="s">
        <v>34</v>
      </c>
      <c r="C8" s="22"/>
      <c r="D8" s="21" t="s">
        <v>33</v>
      </c>
      <c r="E8" s="20"/>
      <c r="F8" s="16">
        <v>2036.018</v>
      </c>
      <c r="G8" s="16">
        <v>2327.4270000000001</v>
      </c>
      <c r="H8" s="19">
        <f>F8-G8</f>
        <v>-291.40900000000011</v>
      </c>
      <c r="I8" s="18">
        <f>H8/G8</f>
        <v>-0.12520650486567358</v>
      </c>
      <c r="J8" s="28">
        <v>23</v>
      </c>
      <c r="K8" s="14"/>
      <c r="L8" s="16">
        <v>0</v>
      </c>
      <c r="M8" s="16">
        <v>0</v>
      </c>
      <c r="N8" s="16"/>
      <c r="O8" s="15"/>
      <c r="P8" s="25"/>
    </row>
    <row r="9" spans="1:16" x14ac:dyDescent="0.3">
      <c r="B9" s="6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4"/>
      <c r="P9" s="3"/>
    </row>
    <row r="10" spans="1:16" ht="26" x14ac:dyDescent="0.3">
      <c r="B10" s="23" t="s">
        <v>32</v>
      </c>
      <c r="C10" s="22"/>
      <c r="D10" s="21" t="s">
        <v>31</v>
      </c>
      <c r="E10" s="20" t="s">
        <v>30</v>
      </c>
      <c r="F10" s="16">
        <v>0.15</v>
      </c>
      <c r="G10" s="16">
        <v>20.452999999999999</v>
      </c>
      <c r="H10" s="19">
        <f>F10-G10</f>
        <v>-20.303000000000001</v>
      </c>
      <c r="I10" s="18">
        <f>H10/G10</f>
        <v>-0.99266611255072612</v>
      </c>
      <c r="J10" s="27">
        <v>24</v>
      </c>
      <c r="K10" s="14"/>
      <c r="L10" s="16">
        <v>0</v>
      </c>
      <c r="M10" s="16">
        <v>0</v>
      </c>
      <c r="N10" s="16"/>
      <c r="O10" s="15"/>
      <c r="P10" s="14"/>
    </row>
    <row r="11" spans="1:16" x14ac:dyDescent="0.3">
      <c r="B11" s="23"/>
      <c r="C11" s="22"/>
      <c r="D11" s="21"/>
      <c r="E11" s="20" t="s">
        <v>29</v>
      </c>
      <c r="F11" s="16">
        <v>81.900000000000006</v>
      </c>
      <c r="G11" s="16">
        <v>80.69</v>
      </c>
      <c r="H11" s="19">
        <f>F11-G11</f>
        <v>1.210000000000008</v>
      </c>
      <c r="I11" s="18"/>
      <c r="J11" s="17"/>
      <c r="K11" s="14"/>
      <c r="L11" s="16">
        <v>0</v>
      </c>
      <c r="M11" s="16">
        <v>0</v>
      </c>
      <c r="N11" s="16"/>
      <c r="O11" s="15"/>
      <c r="P11" s="14"/>
    </row>
    <row r="12" spans="1:16" x14ac:dyDescent="0.3">
      <c r="B12" s="13"/>
      <c r="C12" s="12"/>
      <c r="D12" s="144"/>
      <c r="E12" s="154"/>
      <c r="F12" s="9">
        <f>SUM(F10:F11)</f>
        <v>82.050000000000011</v>
      </c>
      <c r="G12" s="9">
        <f>SUM(G10:G11)</f>
        <v>101.143</v>
      </c>
      <c r="H12" s="9">
        <f>SUM(H10:H11)</f>
        <v>-19.092999999999993</v>
      </c>
      <c r="I12" s="8"/>
      <c r="J12" s="26">
        <v>24</v>
      </c>
      <c r="K12" s="10"/>
      <c r="L12" s="9">
        <f>SUM(L10:L11)</f>
        <v>0</v>
      </c>
      <c r="M12" s="9">
        <f>SUM(M10:M11)</f>
        <v>0</v>
      </c>
      <c r="N12" s="9">
        <f>L12-M12</f>
        <v>0</v>
      </c>
      <c r="O12" s="8"/>
      <c r="P12" s="7"/>
    </row>
    <row r="13" spans="1:16" x14ac:dyDescent="0.3">
      <c r="B13" s="6"/>
      <c r="C13" s="5"/>
      <c r="D13" s="5"/>
      <c r="E13" s="5"/>
      <c r="F13" s="5"/>
      <c r="G13" s="5"/>
      <c r="H13" s="5"/>
      <c r="I13" s="4"/>
      <c r="J13" s="5"/>
      <c r="K13" s="5"/>
      <c r="L13" s="5"/>
      <c r="M13" s="5"/>
      <c r="N13" s="5"/>
      <c r="O13" s="4"/>
      <c r="P13" s="3"/>
    </row>
    <row r="14" spans="1:16" ht="26" x14ac:dyDescent="0.3">
      <c r="B14" s="23" t="s">
        <v>28</v>
      </c>
      <c r="C14" s="22"/>
      <c r="D14" s="21" t="s">
        <v>27</v>
      </c>
      <c r="E14" s="20" t="s">
        <v>26</v>
      </c>
      <c r="F14" s="16">
        <v>62.216000000000001</v>
      </c>
      <c r="G14" s="16">
        <v>62.38</v>
      </c>
      <c r="H14" s="19">
        <f>F14-G14</f>
        <v>-0.16400000000000148</v>
      </c>
      <c r="I14" s="18"/>
      <c r="J14" s="17"/>
      <c r="K14" s="14"/>
      <c r="L14" s="16">
        <v>0.01</v>
      </c>
      <c r="M14" s="16">
        <v>0.01</v>
      </c>
      <c r="N14" s="16"/>
      <c r="O14" s="15"/>
      <c r="P14" s="14"/>
    </row>
    <row r="15" spans="1:16" x14ac:dyDescent="0.3">
      <c r="B15" s="23"/>
      <c r="C15" s="22"/>
      <c r="D15" s="21"/>
      <c r="E15" s="20" t="s">
        <v>25</v>
      </c>
      <c r="F15" s="16">
        <v>-13.397</v>
      </c>
      <c r="G15" s="16">
        <v>-13.397</v>
      </c>
      <c r="H15" s="19"/>
      <c r="I15" s="18"/>
      <c r="J15" s="17"/>
      <c r="K15" s="14"/>
      <c r="L15" s="16">
        <v>0</v>
      </c>
      <c r="M15" s="16">
        <v>0</v>
      </c>
      <c r="N15" s="16"/>
      <c r="O15" s="15"/>
      <c r="P15" s="14"/>
    </row>
    <row r="16" spans="1:16" ht="26" x14ac:dyDescent="0.3">
      <c r="B16" s="23"/>
      <c r="C16" s="22"/>
      <c r="D16" s="21"/>
      <c r="E16" s="20" t="s">
        <v>24</v>
      </c>
      <c r="F16" s="16">
        <v>131.33199999999999</v>
      </c>
      <c r="G16" s="16">
        <v>131.33099999999999</v>
      </c>
      <c r="H16" s="19"/>
      <c r="I16" s="18"/>
      <c r="J16" s="17"/>
      <c r="K16" s="14"/>
      <c r="L16" s="16">
        <v>0</v>
      </c>
      <c r="M16" s="16">
        <v>0</v>
      </c>
      <c r="N16" s="16"/>
      <c r="O16" s="15"/>
      <c r="P16" s="14"/>
    </row>
    <row r="17" spans="2:16" x14ac:dyDescent="0.3">
      <c r="B17" s="13"/>
      <c r="C17" s="12"/>
      <c r="D17" s="144"/>
      <c r="E17" s="154"/>
      <c r="F17" s="9">
        <f>SUM(F14:F16)</f>
        <v>180.15100000000001</v>
      </c>
      <c r="G17" s="9">
        <f>SUM(G14:G16)</f>
        <v>180.31399999999999</v>
      </c>
      <c r="H17" s="9">
        <f>SUM(H14:H16)</f>
        <v>-0.16400000000000148</v>
      </c>
      <c r="I17" s="8"/>
      <c r="J17" s="11"/>
      <c r="K17" s="10"/>
      <c r="L17" s="9">
        <f>SUM(L14:L16)</f>
        <v>0.01</v>
      </c>
      <c r="M17" s="9">
        <f>SUM(M14:M16)</f>
        <v>0.01</v>
      </c>
      <c r="N17" s="9"/>
      <c r="O17" s="8"/>
      <c r="P17" s="7"/>
    </row>
    <row r="18" spans="2:16" x14ac:dyDescent="0.3">
      <c r="B18" s="6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  <c r="O18" s="4"/>
      <c r="P18" s="3"/>
    </row>
    <row r="19" spans="2:16" ht="26" x14ac:dyDescent="0.3">
      <c r="B19" s="23" t="s">
        <v>23</v>
      </c>
      <c r="C19" s="22"/>
      <c r="D19" s="21" t="s">
        <v>22</v>
      </c>
      <c r="E19" s="20" t="s">
        <v>21</v>
      </c>
      <c r="F19" s="16">
        <v>-1.726</v>
      </c>
      <c r="G19" s="16">
        <v>-2.133</v>
      </c>
      <c r="H19" s="19">
        <f>F19-G19</f>
        <v>0.40700000000000003</v>
      </c>
      <c r="I19" s="18"/>
      <c r="J19" s="17"/>
      <c r="K19" s="14"/>
      <c r="L19" s="16">
        <v>-20</v>
      </c>
      <c r="M19" s="16">
        <v>-20</v>
      </c>
      <c r="N19" s="19"/>
      <c r="O19" s="18"/>
      <c r="P19" s="14"/>
    </row>
    <row r="20" spans="2:16" x14ac:dyDescent="0.3">
      <c r="B20" s="6"/>
      <c r="C20" s="5"/>
      <c r="D20" s="5"/>
      <c r="E20" s="5"/>
      <c r="F20" s="5"/>
      <c r="G20" s="5"/>
      <c r="H20" s="5"/>
      <c r="I20" s="4"/>
      <c r="J20" s="5"/>
      <c r="K20" s="5"/>
      <c r="L20" s="5"/>
      <c r="M20" s="5"/>
      <c r="N20" s="5"/>
      <c r="O20" s="4"/>
      <c r="P20" s="3"/>
    </row>
    <row r="21" spans="2:16" ht="26" x14ac:dyDescent="0.3">
      <c r="B21" s="23" t="s">
        <v>20</v>
      </c>
      <c r="C21" s="22"/>
      <c r="D21" s="21" t="s">
        <v>19</v>
      </c>
      <c r="E21" s="20"/>
      <c r="F21" s="16">
        <v>2.4300000000000002</v>
      </c>
      <c r="G21" s="16">
        <v>0.80900000000000005</v>
      </c>
      <c r="H21" s="19">
        <f>F21-G21</f>
        <v>1.621</v>
      </c>
      <c r="I21" s="18"/>
      <c r="J21" s="17"/>
      <c r="K21" s="14"/>
      <c r="L21" s="16">
        <v>0</v>
      </c>
      <c r="M21" s="16">
        <v>0</v>
      </c>
      <c r="N21" s="16"/>
      <c r="O21" s="15"/>
      <c r="P21" s="14"/>
    </row>
    <row r="22" spans="2:16" x14ac:dyDescent="0.3">
      <c r="B22" s="6"/>
      <c r="C22" s="5"/>
      <c r="D22" s="5"/>
      <c r="E22" s="5"/>
      <c r="F22" s="5"/>
      <c r="G22" s="5"/>
      <c r="H22" s="5"/>
      <c r="I22" s="4"/>
      <c r="J22" s="5"/>
      <c r="K22" s="5"/>
      <c r="L22" s="5"/>
      <c r="M22" s="5"/>
      <c r="N22" s="5"/>
      <c r="O22" s="4"/>
      <c r="P22" s="3"/>
    </row>
    <row r="23" spans="2:16" ht="26" x14ac:dyDescent="0.3">
      <c r="B23" s="23" t="s">
        <v>18</v>
      </c>
      <c r="C23" s="22"/>
      <c r="D23" s="21" t="s">
        <v>17</v>
      </c>
      <c r="E23" s="20" t="s">
        <v>16</v>
      </c>
      <c r="F23" s="16">
        <v>-1.5569999999999999</v>
      </c>
      <c r="G23" s="16">
        <f>-1.497-0.409</f>
        <v>-1.9060000000000001</v>
      </c>
      <c r="H23" s="19">
        <f>F23-G23</f>
        <v>0.3490000000000002</v>
      </c>
      <c r="I23" s="18"/>
      <c r="J23" s="17"/>
      <c r="K23" s="14"/>
      <c r="L23" s="16">
        <v>0</v>
      </c>
      <c r="M23" s="16">
        <v>0</v>
      </c>
      <c r="N23" s="16"/>
      <c r="O23" s="15"/>
      <c r="P23" s="14"/>
    </row>
    <row r="24" spans="2:16" ht="26" x14ac:dyDescent="0.3">
      <c r="B24" s="23"/>
      <c r="C24" s="22"/>
      <c r="D24" s="21"/>
      <c r="E24" s="20" t="s">
        <v>15</v>
      </c>
      <c r="F24" s="16">
        <v>0</v>
      </c>
      <c r="G24" s="16">
        <v>0</v>
      </c>
      <c r="H24" s="19"/>
      <c r="I24" s="18"/>
      <c r="J24" s="17"/>
      <c r="K24" s="14"/>
      <c r="L24" s="16">
        <v>0</v>
      </c>
      <c r="M24" s="16">
        <v>0</v>
      </c>
      <c r="N24" s="16"/>
      <c r="O24" s="15"/>
      <c r="P24" s="14"/>
    </row>
    <row r="25" spans="2:16" ht="26" x14ac:dyDescent="0.3">
      <c r="B25" s="23"/>
      <c r="C25" s="22"/>
      <c r="D25" s="21"/>
      <c r="E25" s="20" t="s">
        <v>14</v>
      </c>
      <c r="F25" s="16">
        <v>-3.5000000000000003E-2</v>
      </c>
      <c r="G25" s="16">
        <v>-3.5000000000000003E-2</v>
      </c>
      <c r="H25" s="19"/>
      <c r="I25" s="18"/>
      <c r="J25" s="17"/>
      <c r="K25" s="14"/>
      <c r="L25" s="16">
        <v>0</v>
      </c>
      <c r="M25" s="16">
        <v>0</v>
      </c>
      <c r="N25" s="16"/>
      <c r="O25" s="15"/>
      <c r="P25" s="14"/>
    </row>
    <row r="26" spans="2:16" x14ac:dyDescent="0.3">
      <c r="B26" s="13"/>
      <c r="C26" s="12"/>
      <c r="D26" s="144"/>
      <c r="E26" s="154"/>
      <c r="F26" s="9">
        <f>SUM(F23:F25)</f>
        <v>-1.5919999999999999</v>
      </c>
      <c r="G26" s="9">
        <f>SUM(G23:G25)</f>
        <v>-1.9410000000000001</v>
      </c>
      <c r="H26" s="9">
        <f>SUM(H23:H25)</f>
        <v>0.3490000000000002</v>
      </c>
      <c r="I26" s="8"/>
      <c r="J26" s="11"/>
      <c r="K26" s="10"/>
      <c r="L26" s="9">
        <f>SUM(L23:L25)</f>
        <v>0</v>
      </c>
      <c r="M26" s="9">
        <f>SUM(M23:M25)</f>
        <v>0</v>
      </c>
      <c r="N26" s="9"/>
      <c r="O26" s="8"/>
      <c r="P26" s="7"/>
    </row>
    <row r="27" spans="2:16" x14ac:dyDescent="0.3">
      <c r="B27" s="6"/>
      <c r="C27" s="5"/>
      <c r="D27" s="5"/>
      <c r="E27" s="5"/>
      <c r="F27" s="5"/>
      <c r="G27" s="5"/>
      <c r="H27" s="5"/>
      <c r="I27" s="4"/>
      <c r="J27" s="5"/>
      <c r="K27" s="5"/>
      <c r="L27" s="5"/>
      <c r="M27" s="5"/>
      <c r="N27" s="5"/>
      <c r="O27" s="4"/>
      <c r="P27" s="3"/>
    </row>
    <row r="28" spans="2:16" ht="26" x14ac:dyDescent="0.3">
      <c r="B28" s="23" t="s">
        <v>13</v>
      </c>
      <c r="C28" s="22"/>
      <c r="D28" s="21" t="s">
        <v>12</v>
      </c>
      <c r="E28" s="20" t="s">
        <v>11</v>
      </c>
      <c r="F28" s="16">
        <v>95.048000000000002</v>
      </c>
      <c r="G28" s="16">
        <v>95.052000000000007</v>
      </c>
      <c r="H28" s="19"/>
      <c r="I28" s="18"/>
      <c r="J28" s="17"/>
      <c r="K28" s="14"/>
      <c r="L28" s="16">
        <v>0</v>
      </c>
      <c r="M28" s="16">
        <v>0</v>
      </c>
      <c r="N28" s="16"/>
      <c r="O28" s="15"/>
      <c r="P28" s="14"/>
    </row>
    <row r="29" spans="2:16" x14ac:dyDescent="0.3">
      <c r="B29" s="6"/>
      <c r="C29" s="5"/>
      <c r="D29" s="5"/>
      <c r="E29" s="5"/>
      <c r="F29" s="5"/>
      <c r="G29" s="5"/>
      <c r="H29" s="5"/>
      <c r="I29" s="4"/>
      <c r="J29" s="5"/>
      <c r="K29" s="5"/>
      <c r="L29" s="5"/>
      <c r="M29" s="5"/>
      <c r="N29" s="5"/>
      <c r="O29" s="4"/>
      <c r="P29" s="3"/>
    </row>
    <row r="30" spans="2:16" x14ac:dyDescent="0.3">
      <c r="B30" s="23" t="s">
        <v>10</v>
      </c>
      <c r="C30" s="22"/>
      <c r="D30" s="21" t="s">
        <v>9</v>
      </c>
      <c r="E30" s="20"/>
      <c r="F30" s="16">
        <v>1</v>
      </c>
      <c r="G30" s="16">
        <v>0.63900000000000001</v>
      </c>
      <c r="H30" s="19"/>
      <c r="I30" s="18"/>
      <c r="J30" s="17"/>
      <c r="K30" s="14"/>
      <c r="L30" s="16">
        <v>439.6</v>
      </c>
      <c r="M30" s="16">
        <v>474.90300000000002</v>
      </c>
      <c r="N30" s="19">
        <f>L30-M30</f>
        <v>-35.302999999999997</v>
      </c>
      <c r="O30" s="18">
        <f>N30/M30</f>
        <v>-7.4337285719399529E-2</v>
      </c>
      <c r="P30" s="25"/>
    </row>
    <row r="31" spans="2:16" x14ac:dyDescent="0.3">
      <c r="B31" s="6"/>
      <c r="C31" s="5"/>
      <c r="D31" s="5"/>
      <c r="E31" s="5"/>
      <c r="F31" s="5"/>
      <c r="G31" s="5"/>
      <c r="H31" s="5"/>
      <c r="I31" s="4"/>
      <c r="J31" s="5"/>
      <c r="K31" s="5"/>
      <c r="L31" s="5"/>
      <c r="M31" s="5"/>
      <c r="N31" s="5"/>
      <c r="O31" s="4"/>
      <c r="P31" s="3"/>
    </row>
    <row r="32" spans="2:16" ht="26" x14ac:dyDescent="0.3">
      <c r="B32" s="23" t="s">
        <v>8</v>
      </c>
      <c r="C32" s="22"/>
      <c r="D32" s="21" t="s">
        <v>7</v>
      </c>
      <c r="E32" s="20"/>
      <c r="F32" s="16">
        <v>5</v>
      </c>
      <c r="G32" s="16">
        <v>1</v>
      </c>
      <c r="H32" s="19">
        <f>F32-G32</f>
        <v>4</v>
      </c>
      <c r="I32" s="18"/>
      <c r="J32" s="17"/>
      <c r="K32" s="14"/>
      <c r="L32" s="16">
        <v>0</v>
      </c>
      <c r="M32" s="16">
        <v>0</v>
      </c>
      <c r="N32" s="16"/>
      <c r="O32" s="15"/>
      <c r="P32" s="14"/>
    </row>
    <row r="33" spans="2:16" x14ac:dyDescent="0.3">
      <c r="B33" s="6"/>
      <c r="C33" s="5"/>
      <c r="D33" s="5"/>
      <c r="E33" s="5"/>
      <c r="F33" s="5"/>
      <c r="G33" s="5"/>
      <c r="H33" s="5"/>
      <c r="I33" s="4"/>
      <c r="J33" s="5"/>
      <c r="K33" s="5"/>
      <c r="L33" s="5"/>
      <c r="M33" s="5"/>
      <c r="N33" s="5"/>
      <c r="O33" s="4"/>
      <c r="P33" s="3"/>
    </row>
    <row r="34" spans="2:16" x14ac:dyDescent="0.3">
      <c r="B34" s="23" t="s">
        <v>6</v>
      </c>
      <c r="C34" s="22"/>
      <c r="D34" s="21" t="s">
        <v>5</v>
      </c>
      <c r="E34" s="20"/>
      <c r="F34" s="16">
        <v>1.6E-2</v>
      </c>
      <c r="G34" s="16">
        <v>1.6E-2</v>
      </c>
      <c r="H34" s="19"/>
      <c r="I34" s="18"/>
      <c r="J34" s="24"/>
      <c r="K34" s="14"/>
      <c r="L34" s="16">
        <v>0</v>
      </c>
      <c r="M34" s="16">
        <v>0.74099999999999999</v>
      </c>
      <c r="N34" s="19">
        <f>L34-M34</f>
        <v>-0.74099999999999999</v>
      </c>
      <c r="O34" s="18"/>
      <c r="P34" s="14"/>
    </row>
    <row r="35" spans="2:16" x14ac:dyDescent="0.3">
      <c r="B35" s="6"/>
      <c r="C35" s="5"/>
      <c r="D35" s="5"/>
      <c r="E35" s="5"/>
      <c r="F35" s="5"/>
      <c r="G35" s="5"/>
      <c r="H35" s="5"/>
      <c r="I35" s="4"/>
      <c r="J35" s="5"/>
      <c r="K35" s="5"/>
      <c r="L35" s="5"/>
      <c r="M35" s="5"/>
      <c r="N35" s="5"/>
      <c r="O35" s="4"/>
      <c r="P35" s="3"/>
    </row>
    <row r="36" spans="2:16" ht="26" x14ac:dyDescent="0.3">
      <c r="B36" s="23" t="s">
        <v>4</v>
      </c>
      <c r="C36" s="22"/>
      <c r="D36" s="21" t="s">
        <v>3</v>
      </c>
      <c r="E36" s="20" t="s">
        <v>2</v>
      </c>
      <c r="F36" s="16">
        <v>0</v>
      </c>
      <c r="G36" s="16">
        <v>0</v>
      </c>
      <c r="H36" s="19"/>
      <c r="I36" s="18"/>
      <c r="J36" s="17"/>
      <c r="K36" s="14"/>
      <c r="L36" s="16">
        <v>0</v>
      </c>
      <c r="M36" s="16">
        <v>0</v>
      </c>
      <c r="N36" s="16"/>
      <c r="O36" s="15"/>
      <c r="P36" s="14"/>
    </row>
    <row r="37" spans="2:16" ht="26" x14ac:dyDescent="0.3">
      <c r="B37" s="23"/>
      <c r="C37" s="22"/>
      <c r="D37" s="21"/>
      <c r="E37" s="20" t="s">
        <v>1</v>
      </c>
      <c r="F37" s="16">
        <v>0.15</v>
      </c>
      <c r="G37" s="16">
        <v>11.15</v>
      </c>
      <c r="H37" s="19">
        <f>F37-G37</f>
        <v>-11</v>
      </c>
      <c r="I37" s="18">
        <f>H37/G37</f>
        <v>-0.98654708520179368</v>
      </c>
      <c r="J37" s="17">
        <v>25</v>
      </c>
      <c r="K37" s="14"/>
      <c r="L37" s="16">
        <v>0</v>
      </c>
      <c r="M37" s="16">
        <v>0</v>
      </c>
      <c r="N37" s="16"/>
      <c r="O37" s="15"/>
      <c r="P37" s="14"/>
    </row>
    <row r="38" spans="2:16" ht="26" x14ac:dyDescent="0.3">
      <c r="B38" s="23"/>
      <c r="C38" s="22"/>
      <c r="D38" s="21"/>
      <c r="E38" s="20" t="s">
        <v>0</v>
      </c>
      <c r="F38" s="16">
        <v>5.0000000000000001E-3</v>
      </c>
      <c r="G38" s="16">
        <v>1.2999999999999999E-2</v>
      </c>
      <c r="H38" s="19"/>
      <c r="I38" s="18"/>
      <c r="J38" s="17"/>
      <c r="K38" s="14"/>
      <c r="L38" s="16">
        <v>0</v>
      </c>
      <c r="M38" s="16">
        <v>0</v>
      </c>
      <c r="N38" s="16"/>
      <c r="O38" s="15"/>
      <c r="P38" s="14"/>
    </row>
    <row r="39" spans="2:16" x14ac:dyDescent="0.3">
      <c r="B39" s="13"/>
      <c r="C39" s="12"/>
      <c r="D39" s="144"/>
      <c r="E39" s="154"/>
      <c r="F39" s="9">
        <f>SUM(F36:F38)</f>
        <v>0.155</v>
      </c>
      <c r="G39" s="9">
        <f>SUM(G36:G38)</f>
        <v>11.163</v>
      </c>
      <c r="H39" s="9">
        <f>G39-F39</f>
        <v>11.008000000000001</v>
      </c>
      <c r="I39" s="8">
        <f>H39/G39</f>
        <v>0.98611484368001434</v>
      </c>
      <c r="J39" s="11"/>
      <c r="K39" s="10"/>
      <c r="L39" s="9">
        <f>SUM(L36:L38)</f>
        <v>0</v>
      </c>
      <c r="M39" s="9">
        <f>SUM(M36:M38)</f>
        <v>0</v>
      </c>
      <c r="N39" s="9"/>
      <c r="O39" s="8"/>
      <c r="P39" s="7"/>
    </row>
    <row r="40" spans="2:16" x14ac:dyDescent="0.3">
      <c r="B40" s="6"/>
      <c r="C40" s="5"/>
      <c r="D40" s="5"/>
      <c r="E40" s="5"/>
      <c r="F40" s="5"/>
      <c r="G40" s="5"/>
      <c r="H40" s="5"/>
      <c r="I40" s="4"/>
      <c r="J40" s="5"/>
      <c r="K40" s="5"/>
      <c r="L40" s="5"/>
      <c r="M40" s="5"/>
      <c r="N40" s="5"/>
      <c r="O40" s="4"/>
      <c r="P40" s="3"/>
    </row>
    <row r="41" spans="2:16" x14ac:dyDescent="0.3">
      <c r="F41" s="2">
        <f>F39+F32+F34+F30+F28+F26+F21+F19+F17+F12+F8+F6</f>
        <v>2408.5500000000002</v>
      </c>
      <c r="G41" s="2">
        <f>G39+G32+G34+G30+G28+G26+G21+G19+G17+G12+G8+G6</f>
        <v>2668.8319999999999</v>
      </c>
      <c r="H41" s="1">
        <f>F41-G41</f>
        <v>-260.2819999999997</v>
      </c>
      <c r="I41" s="18">
        <f>H41/G41</f>
        <v>-9.7526558434551033E-2</v>
      </c>
      <c r="L41" s="2">
        <f>L39+L32+L34+L30+L28+L26+L21+L19+L17+L12+L8+L6</f>
        <v>469.61</v>
      </c>
      <c r="M41" s="2">
        <f>M39+M32+M34+M30+M28+M26+M21+M19+M17+M12+M8+M6</f>
        <v>500.654</v>
      </c>
      <c r="N41" s="2">
        <f>L41-M41</f>
        <v>-31.043999999999983</v>
      </c>
      <c r="O41" s="100">
        <f>N41/M41</f>
        <v>-6.2006894981364344E-2</v>
      </c>
    </row>
    <row r="42" spans="2:16" x14ac:dyDescent="0.3">
      <c r="F42" s="2"/>
      <c r="G42" s="2"/>
    </row>
  </sheetData>
  <mergeCells count="10">
    <mergeCell ref="D12:E12"/>
    <mergeCell ref="D17:E17"/>
    <mergeCell ref="D26:E26"/>
    <mergeCell ref="D39:E39"/>
    <mergeCell ref="F3:J3"/>
    <mergeCell ref="L3:P3"/>
    <mergeCell ref="H4:I4"/>
    <mergeCell ref="N4:O4"/>
    <mergeCell ref="F5:H5"/>
    <mergeCell ref="L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B586-0F8C-4B0B-AC48-74B7923467A2}">
  <dimension ref="A1:I117"/>
  <sheetViews>
    <sheetView tabSelected="1" workbookViewId="0">
      <selection activeCell="A6" sqref="A6"/>
    </sheetView>
  </sheetViews>
  <sheetFormatPr defaultColWidth="8.7265625" defaultRowHeight="14.5" x14ac:dyDescent="0.35"/>
  <cols>
    <col min="1" max="1" width="74.1796875" style="101" customWidth="1"/>
    <col min="2" max="8" width="11.453125" style="101" customWidth="1"/>
  </cols>
  <sheetData>
    <row r="1" spans="1:9" x14ac:dyDescent="0.35">
      <c r="B1" s="101">
        <v>1000</v>
      </c>
    </row>
    <row r="2" spans="1:9" ht="37" x14ac:dyDescent="0.45">
      <c r="A2" s="102" t="s">
        <v>175</v>
      </c>
    </row>
    <row r="3" spans="1:9" ht="18.5" x14ac:dyDescent="0.45">
      <c r="A3" s="103"/>
    </row>
    <row r="4" spans="1:9" ht="18.5" x14ac:dyDescent="0.45">
      <c r="B4" s="103" t="s">
        <v>176</v>
      </c>
      <c r="C4"/>
      <c r="D4" s="155" t="s">
        <v>177</v>
      </c>
      <c r="E4" s="156"/>
      <c r="F4" s="103"/>
      <c r="G4"/>
      <c r="H4" s="104" t="s">
        <v>177</v>
      </c>
      <c r="I4" s="105"/>
    </row>
    <row r="5" spans="1:9" ht="34" customHeight="1" x14ac:dyDescent="0.35">
      <c r="B5" s="106" t="s">
        <v>178</v>
      </c>
      <c r="C5" s="106" t="s">
        <v>179</v>
      </c>
      <c r="D5" s="107" t="s">
        <v>180</v>
      </c>
      <c r="E5" s="107" t="s">
        <v>172</v>
      </c>
      <c r="F5" s="106" t="s">
        <v>45</v>
      </c>
      <c r="G5" s="106" t="s">
        <v>44</v>
      </c>
      <c r="H5" s="107" t="s">
        <v>181</v>
      </c>
      <c r="I5" s="108"/>
    </row>
    <row r="6" spans="1:9" ht="15" customHeight="1" x14ac:dyDescent="0.35">
      <c r="B6" s="109"/>
      <c r="C6" s="109"/>
      <c r="D6" s="109"/>
      <c r="E6" s="109"/>
      <c r="F6" s="109"/>
      <c r="G6" s="109"/>
      <c r="H6" s="109"/>
      <c r="I6" s="105"/>
    </row>
    <row r="7" spans="1:9" ht="15" customHeight="1" x14ac:dyDescent="0.35">
      <c r="A7" s="101" t="s">
        <v>182</v>
      </c>
      <c r="B7" s="109">
        <v>0</v>
      </c>
      <c r="C7" s="109">
        <v>0</v>
      </c>
      <c r="D7" s="109">
        <f>B7+C7</f>
        <v>0</v>
      </c>
      <c r="E7" s="109">
        <f>12406000/$B$1</f>
        <v>12406</v>
      </c>
      <c r="F7" s="109"/>
      <c r="G7" s="109"/>
      <c r="H7" s="109"/>
      <c r="I7" s="105"/>
    </row>
    <row r="8" spans="1:9" ht="15" customHeight="1" x14ac:dyDescent="0.35">
      <c r="A8" s="101" t="s">
        <v>183</v>
      </c>
      <c r="B8" s="109">
        <v>0</v>
      </c>
      <c r="C8" s="109">
        <v>0</v>
      </c>
      <c r="D8" s="109">
        <f>D9-D7</f>
        <v>0</v>
      </c>
      <c r="E8" s="109">
        <v>0</v>
      </c>
      <c r="F8" s="109"/>
      <c r="G8" s="109"/>
      <c r="H8" s="109"/>
      <c r="I8" s="105"/>
    </row>
    <row r="9" spans="1:9" ht="15" customHeight="1" x14ac:dyDescent="0.35">
      <c r="A9" s="110" t="s">
        <v>184</v>
      </c>
      <c r="B9" s="111">
        <f>B7+B8</f>
        <v>0</v>
      </c>
      <c r="C9" s="111">
        <f>C7+C8</f>
        <v>0</v>
      </c>
      <c r="D9" s="111">
        <f>B9+C9</f>
        <v>0</v>
      </c>
      <c r="E9" s="111">
        <f>E7+E8</f>
        <v>12406</v>
      </c>
      <c r="F9" s="111">
        <f>F7+F8</f>
        <v>0</v>
      </c>
      <c r="G9" s="111">
        <f>G7+G8</f>
        <v>0</v>
      </c>
      <c r="H9" s="111"/>
      <c r="I9" s="105"/>
    </row>
    <row r="10" spans="1:9" ht="15" customHeight="1" x14ac:dyDescent="0.35">
      <c r="B10" s="112"/>
      <c r="C10" s="112"/>
      <c r="D10" s="112"/>
      <c r="E10" s="112"/>
      <c r="F10" s="112"/>
      <c r="G10" s="112"/>
      <c r="H10" s="112"/>
      <c r="I10" s="105"/>
    </row>
    <row r="11" spans="1:9" ht="15" customHeight="1" x14ac:dyDescent="0.35">
      <c r="A11" s="101" t="s">
        <v>185</v>
      </c>
      <c r="B11" s="109">
        <v>0</v>
      </c>
      <c r="C11" s="113">
        <v>-70.8</v>
      </c>
      <c r="D11" s="109">
        <f>B11+C11</f>
        <v>-70.8</v>
      </c>
      <c r="E11" s="109">
        <f>70800/$B$1</f>
        <v>70.8</v>
      </c>
      <c r="F11" s="109"/>
      <c r="G11" s="109"/>
      <c r="H11" s="109"/>
      <c r="I11" s="105"/>
    </row>
    <row r="12" spans="1:9" ht="15" customHeight="1" x14ac:dyDescent="0.35">
      <c r="B12" s="109"/>
      <c r="C12" s="109"/>
      <c r="D12" s="109"/>
      <c r="E12" s="109"/>
      <c r="F12" s="109"/>
      <c r="G12" s="109"/>
      <c r="H12" s="109"/>
      <c r="I12" s="105"/>
    </row>
    <row r="13" spans="1:9" ht="15" customHeight="1" x14ac:dyDescent="0.35">
      <c r="B13" s="113"/>
      <c r="C13" s="113"/>
      <c r="D13" s="113"/>
      <c r="E13" s="113"/>
      <c r="F13" s="109"/>
      <c r="G13" s="109"/>
      <c r="H13" s="109"/>
      <c r="I13" s="105"/>
    </row>
    <row r="14" spans="1:9" ht="15" customHeight="1" x14ac:dyDescent="0.35">
      <c r="A14" s="114" t="s">
        <v>186</v>
      </c>
      <c r="B14" s="115">
        <f t="shared" ref="B14:H14" si="0">SUM(B11:B13)</f>
        <v>0</v>
      </c>
      <c r="C14" s="115">
        <f t="shared" si="0"/>
        <v>-70.8</v>
      </c>
      <c r="D14" s="115">
        <f t="shared" si="0"/>
        <v>-70.8</v>
      </c>
      <c r="E14" s="115">
        <f t="shared" si="0"/>
        <v>70.8</v>
      </c>
      <c r="F14" s="115">
        <f t="shared" si="0"/>
        <v>0</v>
      </c>
      <c r="G14" s="115">
        <f t="shared" si="0"/>
        <v>0</v>
      </c>
      <c r="H14" s="115">
        <f t="shared" si="0"/>
        <v>0</v>
      </c>
      <c r="I14" s="105"/>
    </row>
    <row r="15" spans="1:9" ht="15" customHeight="1" x14ac:dyDescent="0.35">
      <c r="B15" s="113"/>
      <c r="C15" s="113"/>
      <c r="D15" s="113"/>
      <c r="E15" s="113"/>
      <c r="F15" s="113"/>
      <c r="G15" s="113"/>
      <c r="H15" s="113"/>
      <c r="I15" s="105"/>
    </row>
    <row r="16" spans="1:9" ht="15" customHeight="1" x14ac:dyDescent="0.35">
      <c r="B16" s="113"/>
      <c r="C16" s="113"/>
      <c r="D16" s="113"/>
      <c r="E16" s="113"/>
      <c r="F16" s="113"/>
      <c r="G16" s="113"/>
      <c r="H16" s="113"/>
      <c r="I16" s="105"/>
    </row>
    <row r="17" spans="1:9" ht="15" customHeight="1" x14ac:dyDescent="0.35">
      <c r="A17" s="101" t="s">
        <v>187</v>
      </c>
      <c r="B17" s="113">
        <v>293.255</v>
      </c>
      <c r="C17" s="113">
        <v>3917.8449999999998</v>
      </c>
      <c r="D17" s="113">
        <f>B17+C17</f>
        <v>4211.0999999999995</v>
      </c>
      <c r="E17" s="113">
        <v>0</v>
      </c>
      <c r="F17" s="113"/>
      <c r="G17" s="113"/>
      <c r="H17" s="113"/>
      <c r="I17" s="105"/>
    </row>
    <row r="18" spans="1:9" ht="15" customHeight="1" x14ac:dyDescent="0.35">
      <c r="A18" s="101" t="s">
        <v>188</v>
      </c>
      <c r="B18" s="113">
        <v>7</v>
      </c>
      <c r="C18" s="113">
        <v>7110.9530000000004</v>
      </c>
      <c r="D18" s="113">
        <f>B18+C18</f>
        <v>7117.9530000000004</v>
      </c>
      <c r="E18" s="113">
        <v>0</v>
      </c>
      <c r="F18" s="113"/>
      <c r="G18" s="113"/>
      <c r="H18" s="113"/>
      <c r="I18" s="105"/>
    </row>
    <row r="19" spans="1:9" ht="15" customHeight="1" x14ac:dyDescent="0.35">
      <c r="B19" s="113"/>
      <c r="C19" s="113"/>
      <c r="D19" s="113"/>
      <c r="E19" s="113"/>
      <c r="F19" s="113"/>
      <c r="G19" s="113"/>
      <c r="H19" s="113"/>
      <c r="I19" s="105"/>
    </row>
    <row r="20" spans="1:9" ht="15" customHeight="1" x14ac:dyDescent="0.35">
      <c r="A20" s="114"/>
      <c r="B20" s="115">
        <f>B17+B18+B14</f>
        <v>300.255</v>
      </c>
      <c r="C20" s="115">
        <f>C17+C18+C14</f>
        <v>10957.998000000001</v>
      </c>
      <c r="D20" s="115">
        <f t="shared" ref="D20:G20" si="1">D17+D18+D14</f>
        <v>11258.253000000001</v>
      </c>
      <c r="E20" s="115">
        <f t="shared" si="1"/>
        <v>70.8</v>
      </c>
      <c r="F20" s="115">
        <f t="shared" si="1"/>
        <v>0</v>
      </c>
      <c r="G20" s="115">
        <f t="shared" si="1"/>
        <v>0</v>
      </c>
      <c r="H20" s="115">
        <f>F20+G20</f>
        <v>0</v>
      </c>
      <c r="I20" s="105"/>
    </row>
    <row r="21" spans="1:9" ht="15" customHeight="1" x14ac:dyDescent="0.35">
      <c r="A21" s="116"/>
      <c r="B21" s="109"/>
      <c r="C21" s="109"/>
      <c r="D21" s="109"/>
      <c r="E21" s="109"/>
      <c r="F21" s="109"/>
      <c r="G21" s="109"/>
      <c r="H21" s="109"/>
      <c r="I21" s="105"/>
    </row>
    <row r="22" spans="1:9" ht="15" customHeight="1" x14ac:dyDescent="0.45">
      <c r="A22" s="102" t="s">
        <v>189</v>
      </c>
      <c r="B22" s="113"/>
      <c r="C22" s="113"/>
      <c r="D22" s="113"/>
      <c r="E22" s="113"/>
      <c r="F22" s="113"/>
      <c r="G22" s="113"/>
      <c r="H22" s="113"/>
      <c r="I22" s="105"/>
    </row>
    <row r="23" spans="1:9" ht="15" customHeight="1" x14ac:dyDescent="0.35">
      <c r="A23" s="117"/>
      <c r="B23" s="113"/>
      <c r="C23" s="113"/>
      <c r="D23" s="113"/>
      <c r="E23" s="113"/>
      <c r="F23" s="113"/>
      <c r="G23" s="113"/>
      <c r="H23" s="113"/>
      <c r="I23" s="105"/>
    </row>
    <row r="24" spans="1:9" ht="29" x14ac:dyDescent="0.35">
      <c r="A24" s="101" t="s">
        <v>190</v>
      </c>
      <c r="B24" s="113"/>
      <c r="C24" s="113"/>
      <c r="D24" s="113"/>
      <c r="E24" s="113">
        <f>-948000/$B$1</f>
        <v>-948</v>
      </c>
      <c r="F24" s="113"/>
      <c r="G24" s="113"/>
      <c r="H24" s="113"/>
      <c r="I24" s="105"/>
    </row>
    <row r="25" spans="1:9" ht="15" customHeight="1" x14ac:dyDescent="0.35">
      <c r="B25" s="113"/>
      <c r="C25" s="113"/>
      <c r="D25" s="113"/>
      <c r="E25" s="113"/>
      <c r="F25" s="113"/>
      <c r="G25" s="113"/>
      <c r="H25" s="113"/>
      <c r="I25" s="105"/>
    </row>
    <row r="26" spans="1:9" ht="15" customHeight="1" x14ac:dyDescent="0.35">
      <c r="A26" s="118" t="s">
        <v>191</v>
      </c>
      <c r="B26" s="119">
        <f>B9+B20+SUM(B24:B24)</f>
        <v>300.255</v>
      </c>
      <c r="C26" s="119">
        <f>C9+C20+SUM(C24:C24)</f>
        <v>10957.998000000001</v>
      </c>
      <c r="D26" s="119">
        <f>C26+B26</f>
        <v>11258.253000000001</v>
      </c>
      <c r="E26" s="119">
        <f>E9+E20+SUM(E24:E24)</f>
        <v>11528.8</v>
      </c>
      <c r="F26" s="119">
        <f>F20+SUM(F24:F24)</f>
        <v>0</v>
      </c>
      <c r="G26" s="119">
        <f>G20+SUM(G24:G24)</f>
        <v>0</v>
      </c>
      <c r="H26" s="119">
        <f>F26+G26</f>
        <v>0</v>
      </c>
      <c r="I26" s="105"/>
    </row>
    <row r="27" spans="1:9" ht="15" customHeight="1" x14ac:dyDescent="0.35">
      <c r="A27" s="117"/>
      <c r="B27" s="113"/>
      <c r="C27" s="113"/>
      <c r="D27" s="113"/>
      <c r="E27" s="113"/>
      <c r="F27" s="113"/>
      <c r="G27" s="113"/>
      <c r="H27" s="113"/>
      <c r="I27" s="105"/>
    </row>
    <row r="28" spans="1:9" ht="15" customHeight="1" x14ac:dyDescent="0.35">
      <c r="A28" s="120"/>
      <c r="B28" s="121"/>
      <c r="C28" s="121"/>
      <c r="D28" s="121"/>
      <c r="E28" s="121"/>
      <c r="F28" s="121"/>
      <c r="G28" s="121"/>
      <c r="H28" s="121"/>
      <c r="I28" s="105"/>
    </row>
    <row r="29" spans="1:9" ht="15" customHeight="1" x14ac:dyDescent="0.35">
      <c r="A29" s="122" t="s">
        <v>192</v>
      </c>
      <c r="B29" s="113"/>
      <c r="C29" s="113"/>
      <c r="D29" s="113"/>
      <c r="E29" s="113"/>
      <c r="F29" s="113"/>
      <c r="G29" s="113"/>
      <c r="H29" s="113"/>
      <c r="I29" s="105"/>
    </row>
    <row r="30" spans="1:9" ht="15" customHeight="1" x14ac:dyDescent="0.35">
      <c r="A30" s="101" t="s">
        <v>193</v>
      </c>
      <c r="B30" s="113"/>
      <c r="C30" s="113"/>
      <c r="D30" s="113"/>
      <c r="E30" s="113">
        <v>250</v>
      </c>
      <c r="F30" s="113"/>
      <c r="G30" s="113"/>
      <c r="H30" s="113"/>
      <c r="I30" s="105"/>
    </row>
    <row r="31" spans="1:9" ht="15" customHeight="1" x14ac:dyDescent="0.35">
      <c r="A31" s="101" t="s">
        <v>194</v>
      </c>
      <c r="B31" s="113"/>
      <c r="C31" s="113"/>
      <c r="D31" s="113"/>
      <c r="E31" s="113">
        <v>300</v>
      </c>
      <c r="F31" s="113"/>
      <c r="G31" s="113"/>
      <c r="H31" s="113"/>
      <c r="I31" s="105"/>
    </row>
    <row r="32" spans="1:9" ht="15" customHeight="1" x14ac:dyDescent="0.35">
      <c r="A32" s="101" t="s">
        <v>195</v>
      </c>
      <c r="B32" s="113"/>
      <c r="C32" s="113"/>
      <c r="D32" s="113"/>
      <c r="E32" s="113">
        <v>250</v>
      </c>
      <c r="F32" s="113"/>
      <c r="G32" s="113"/>
      <c r="H32" s="113"/>
      <c r="I32" s="105"/>
    </row>
    <row r="33" spans="1:9" ht="15" customHeight="1" x14ac:dyDescent="0.35">
      <c r="A33" s="101" t="s">
        <v>196</v>
      </c>
      <c r="B33" s="113"/>
      <c r="C33" s="113"/>
      <c r="D33" s="113"/>
      <c r="E33" s="113">
        <v>95</v>
      </c>
      <c r="F33" s="113"/>
      <c r="G33" s="113"/>
      <c r="H33" s="113"/>
      <c r="I33" s="105"/>
    </row>
    <row r="34" spans="1:9" ht="15" customHeight="1" x14ac:dyDescent="0.35">
      <c r="A34" s="101" t="s">
        <v>197</v>
      </c>
      <c r="B34" s="113"/>
      <c r="C34" s="113"/>
      <c r="D34" s="113"/>
      <c r="E34" s="113">
        <f>146.181+43.9</f>
        <v>190.08100000000002</v>
      </c>
      <c r="F34" s="113"/>
      <c r="G34" s="113"/>
      <c r="H34" s="113"/>
      <c r="I34" s="105"/>
    </row>
    <row r="35" spans="1:9" ht="15" customHeight="1" x14ac:dyDescent="0.35">
      <c r="B35" s="113"/>
      <c r="C35" s="113"/>
      <c r="D35" s="113"/>
      <c r="E35" s="113"/>
      <c r="F35" s="113"/>
      <c r="G35" s="113"/>
      <c r="H35" s="113"/>
      <c r="I35" s="105"/>
    </row>
    <row r="36" spans="1:9" ht="15" customHeight="1" x14ac:dyDescent="0.35">
      <c r="A36" s="123"/>
      <c r="B36" s="124"/>
      <c r="C36" s="124"/>
      <c r="D36" s="124"/>
      <c r="E36" s="124"/>
      <c r="F36" s="124"/>
      <c r="G36" s="124"/>
      <c r="H36" s="124"/>
      <c r="I36" s="105"/>
    </row>
    <row r="37" spans="1:9" ht="15" customHeight="1" x14ac:dyDescent="0.35">
      <c r="A37" s="122" t="s">
        <v>198</v>
      </c>
      <c r="B37" s="113"/>
      <c r="C37" s="113"/>
      <c r="D37" s="113"/>
      <c r="E37" s="113"/>
      <c r="F37" s="113"/>
      <c r="G37" s="113"/>
      <c r="H37" s="113"/>
      <c r="I37" s="105"/>
    </row>
    <row r="38" spans="1:9" ht="15" customHeight="1" x14ac:dyDescent="0.35">
      <c r="A38" s="101" t="s">
        <v>199</v>
      </c>
      <c r="B38" s="113"/>
      <c r="C38" s="113"/>
      <c r="D38" s="113"/>
      <c r="E38" s="113">
        <v>10</v>
      </c>
      <c r="F38" s="113"/>
      <c r="G38" s="113"/>
      <c r="H38" s="113"/>
      <c r="I38" s="105"/>
    </row>
    <row r="39" spans="1:9" ht="15" customHeight="1" x14ac:dyDescent="0.35">
      <c r="A39" s="101" t="s">
        <v>200</v>
      </c>
      <c r="B39" s="113"/>
      <c r="C39" s="113"/>
      <c r="D39" s="113"/>
      <c r="E39" s="113">
        <v>29.8</v>
      </c>
      <c r="F39" s="113"/>
      <c r="G39" s="113"/>
      <c r="H39" s="113"/>
      <c r="I39" s="105"/>
    </row>
    <row r="40" spans="1:9" ht="15" customHeight="1" x14ac:dyDescent="0.35">
      <c r="A40" s="101" t="s">
        <v>201</v>
      </c>
      <c r="B40" s="113"/>
      <c r="C40" s="113"/>
      <c r="D40" s="113"/>
      <c r="E40" s="113">
        <v>-40</v>
      </c>
      <c r="F40" s="113"/>
      <c r="G40" s="113"/>
      <c r="H40" s="113"/>
      <c r="I40" s="105"/>
    </row>
    <row r="41" spans="1:9" ht="15" customHeight="1" x14ac:dyDescent="0.35">
      <c r="A41" s="123"/>
      <c r="B41" s="124"/>
      <c r="C41" s="124"/>
      <c r="D41" s="124"/>
      <c r="E41" s="124"/>
      <c r="F41" s="124"/>
      <c r="G41" s="124"/>
      <c r="H41" s="124"/>
      <c r="I41" s="105"/>
    </row>
    <row r="42" spans="1:9" ht="15" customHeight="1" x14ac:dyDescent="0.35">
      <c r="B42" s="113"/>
      <c r="C42" s="113"/>
      <c r="D42" s="113"/>
      <c r="E42" s="113"/>
      <c r="F42" s="113"/>
      <c r="G42" s="113"/>
      <c r="H42" s="113"/>
      <c r="I42" s="105"/>
    </row>
    <row r="43" spans="1:9" ht="15" customHeight="1" x14ac:dyDescent="0.35">
      <c r="A43" s="122" t="s">
        <v>202</v>
      </c>
      <c r="B43" s="113"/>
      <c r="C43" s="113"/>
      <c r="D43" s="113"/>
      <c r="E43" s="113"/>
      <c r="F43" s="113"/>
      <c r="G43" s="113"/>
      <c r="H43" s="113"/>
      <c r="I43" s="105"/>
    </row>
    <row r="44" spans="1:9" ht="15" customHeight="1" x14ac:dyDescent="0.35">
      <c r="A44" s="101" t="s">
        <v>203</v>
      </c>
      <c r="B44" s="113">
        <v>0</v>
      </c>
      <c r="C44" s="113">
        <f>15000/$B$1</f>
        <v>15</v>
      </c>
      <c r="D44" s="113">
        <f t="shared" ref="D44" si="2">C44+B44</f>
        <v>15</v>
      </c>
      <c r="E44" s="113"/>
      <c r="F44" s="113"/>
      <c r="G44" s="113"/>
      <c r="H44" s="113"/>
      <c r="I44" s="105"/>
    </row>
    <row r="45" spans="1:9" ht="15" customHeight="1" x14ac:dyDescent="0.35">
      <c r="A45" s="101" t="s">
        <v>204</v>
      </c>
      <c r="B45" s="113"/>
      <c r="C45" s="113"/>
      <c r="D45"/>
      <c r="E45" s="113">
        <v>146</v>
      </c>
      <c r="F45" s="113"/>
      <c r="G45" s="113"/>
      <c r="H45" s="113"/>
      <c r="I45" s="105"/>
    </row>
    <row r="46" spans="1:9" ht="15" customHeight="1" x14ac:dyDescent="0.35">
      <c r="A46" s="101" t="s">
        <v>205</v>
      </c>
      <c r="B46" s="113"/>
      <c r="C46" s="113"/>
      <c r="D46"/>
      <c r="E46" s="113">
        <v>500</v>
      </c>
      <c r="F46" s="113"/>
      <c r="G46" s="113"/>
      <c r="H46" s="113"/>
      <c r="I46" s="105"/>
    </row>
    <row r="47" spans="1:9" ht="15" customHeight="1" x14ac:dyDescent="0.35">
      <c r="A47" s="101" t="s">
        <v>203</v>
      </c>
      <c r="B47" s="113"/>
      <c r="C47" s="113"/>
      <c r="D47"/>
      <c r="E47" s="113">
        <v>126.5</v>
      </c>
      <c r="F47" s="113"/>
      <c r="G47" s="113"/>
      <c r="H47" s="113"/>
      <c r="I47" s="105"/>
    </row>
    <row r="48" spans="1:9" ht="15" customHeight="1" x14ac:dyDescent="0.35">
      <c r="A48" s="101" t="s">
        <v>206</v>
      </c>
      <c r="B48" s="113"/>
      <c r="C48" s="113"/>
      <c r="D48"/>
      <c r="E48" s="113">
        <v>250</v>
      </c>
      <c r="F48" s="113"/>
      <c r="G48" s="113"/>
      <c r="H48" s="113"/>
      <c r="I48" s="105"/>
    </row>
    <row r="49" spans="1:9" ht="15" customHeight="1" x14ac:dyDescent="0.35">
      <c r="A49" s="125"/>
      <c r="B49" s="126"/>
      <c r="C49" s="126"/>
      <c r="D49" s="126"/>
      <c r="E49" s="126"/>
      <c r="F49" s="126"/>
      <c r="G49" s="126"/>
      <c r="H49" s="126"/>
      <c r="I49" s="108"/>
    </row>
    <row r="50" spans="1:9" ht="15" customHeight="1" x14ac:dyDescent="0.35">
      <c r="B50" s="113"/>
      <c r="C50" s="113"/>
      <c r="D50" s="113"/>
      <c r="E50" s="113"/>
      <c r="F50" s="113"/>
      <c r="G50" s="113"/>
      <c r="H50" s="113"/>
      <c r="I50" s="105"/>
    </row>
    <row r="51" spans="1:9" ht="15" customHeight="1" x14ac:dyDescent="0.45">
      <c r="A51" s="102" t="s">
        <v>207</v>
      </c>
      <c r="B51" s="113"/>
      <c r="C51" s="113"/>
      <c r="D51" s="113"/>
      <c r="E51" s="113"/>
      <c r="F51" s="113"/>
      <c r="G51" s="113"/>
      <c r="H51" s="113"/>
      <c r="I51" s="105"/>
    </row>
    <row r="52" spans="1:9" ht="15" customHeight="1" x14ac:dyDescent="0.35">
      <c r="A52" s="117"/>
      <c r="B52" s="113"/>
      <c r="C52" s="113"/>
      <c r="D52" s="113"/>
      <c r="E52" s="113"/>
      <c r="F52" s="113"/>
      <c r="G52" s="113"/>
      <c r="H52" s="113"/>
      <c r="I52" s="105"/>
    </row>
    <row r="53" spans="1:9" ht="15" customHeight="1" x14ac:dyDescent="0.35">
      <c r="A53" s="101" t="s">
        <v>208</v>
      </c>
      <c r="B53" s="113">
        <v>0</v>
      </c>
      <c r="C53" s="113">
        <v>0</v>
      </c>
      <c r="D53" s="113">
        <f t="shared" ref="D53:D69" si="3">C53+B53</f>
        <v>0</v>
      </c>
      <c r="E53" s="113"/>
      <c r="F53" s="113">
        <v>81.900000000000006</v>
      </c>
      <c r="G53" s="113">
        <v>0</v>
      </c>
      <c r="H53" s="113">
        <f t="shared" ref="H53:H69" si="4">F53+G53</f>
        <v>81.900000000000006</v>
      </c>
      <c r="I53" s="105"/>
    </row>
    <row r="54" spans="1:9" ht="15" customHeight="1" x14ac:dyDescent="0.35">
      <c r="A54" s="101" t="s">
        <v>209</v>
      </c>
      <c r="B54" s="113">
        <v>0</v>
      </c>
      <c r="C54" s="113">
        <v>0</v>
      </c>
      <c r="D54" s="113"/>
      <c r="E54" s="113"/>
      <c r="F54" s="113">
        <v>2036.018</v>
      </c>
      <c r="G54" s="113">
        <v>0</v>
      </c>
      <c r="H54" s="113">
        <f t="shared" si="4"/>
        <v>2036.018</v>
      </c>
      <c r="I54" s="105"/>
    </row>
    <row r="55" spans="1:9" ht="15" customHeight="1" x14ac:dyDescent="0.35">
      <c r="A55" s="101" t="s">
        <v>210</v>
      </c>
      <c r="B55" s="113">
        <v>0</v>
      </c>
      <c r="C55" s="113">
        <v>0</v>
      </c>
      <c r="D55" s="113"/>
      <c r="E55" s="113"/>
      <c r="F55" s="113">
        <v>10</v>
      </c>
      <c r="G55" s="113">
        <v>50</v>
      </c>
      <c r="H55" s="113">
        <f t="shared" si="4"/>
        <v>60</v>
      </c>
      <c r="I55" s="105"/>
    </row>
    <row r="56" spans="1:9" ht="15" customHeight="1" x14ac:dyDescent="0.35">
      <c r="A56" s="101" t="s">
        <v>211</v>
      </c>
      <c r="B56" s="113">
        <v>0</v>
      </c>
      <c r="C56" s="113">
        <v>0</v>
      </c>
      <c r="D56" s="113"/>
      <c r="E56" s="113"/>
      <c r="F56" s="113">
        <v>6</v>
      </c>
      <c r="G56" s="113">
        <v>439.6</v>
      </c>
      <c r="H56" s="113">
        <f t="shared" si="4"/>
        <v>445.6</v>
      </c>
      <c r="I56" s="105"/>
    </row>
    <row r="57" spans="1:9" ht="15" customHeight="1" x14ac:dyDescent="0.35">
      <c r="A57" s="101" t="s">
        <v>212</v>
      </c>
      <c r="B57" s="113">
        <v>0</v>
      </c>
      <c r="C57" s="113">
        <v>0</v>
      </c>
      <c r="D57" s="113"/>
      <c r="E57" s="113">
        <v>0</v>
      </c>
      <c r="F57" s="113">
        <v>0</v>
      </c>
      <c r="G57" s="113"/>
      <c r="H57" s="113">
        <f t="shared" si="4"/>
        <v>0</v>
      </c>
      <c r="I57" s="105"/>
    </row>
    <row r="58" spans="1:9" ht="15" customHeight="1" x14ac:dyDescent="0.35">
      <c r="A58" s="101" t="s">
        <v>213</v>
      </c>
      <c r="B58" s="113">
        <v>0</v>
      </c>
      <c r="C58" s="113">
        <v>0</v>
      </c>
      <c r="D58" s="113"/>
      <c r="E58" s="113">
        <v>0</v>
      </c>
      <c r="F58" s="113">
        <v>0</v>
      </c>
      <c r="G58" s="113"/>
      <c r="H58" s="113">
        <f t="shared" si="4"/>
        <v>0</v>
      </c>
      <c r="I58" s="105"/>
    </row>
    <row r="59" spans="1:9" ht="15" customHeight="1" x14ac:dyDescent="0.35">
      <c r="A59" s="127" t="s">
        <v>214</v>
      </c>
      <c r="B59" s="113">
        <v>0</v>
      </c>
      <c r="C59" s="113">
        <v>0</v>
      </c>
      <c r="D59" s="113">
        <f t="shared" si="3"/>
        <v>0</v>
      </c>
      <c r="E59" s="113"/>
      <c r="F59" s="128">
        <f>274.605-5</f>
        <v>269.60500000000002</v>
      </c>
      <c r="G59" s="113"/>
      <c r="H59" s="113">
        <f t="shared" si="4"/>
        <v>269.60500000000002</v>
      </c>
      <c r="I59" s="105"/>
    </row>
    <row r="60" spans="1:9" ht="15" customHeight="1" x14ac:dyDescent="0.35">
      <c r="A60" s="101" t="s">
        <v>215</v>
      </c>
      <c r="B60" s="113">
        <v>0</v>
      </c>
      <c r="C60" s="113">
        <v>0</v>
      </c>
      <c r="D60" s="113">
        <f t="shared" si="3"/>
        <v>0</v>
      </c>
      <c r="E60" s="113"/>
      <c r="F60" s="113">
        <v>0</v>
      </c>
      <c r="G60" s="113">
        <v>-20</v>
      </c>
      <c r="H60" s="113">
        <f t="shared" si="4"/>
        <v>-20</v>
      </c>
      <c r="I60" s="105"/>
    </row>
    <row r="61" spans="1:9" x14ac:dyDescent="0.35">
      <c r="A61" s="101" t="s">
        <v>216</v>
      </c>
      <c r="B61" s="113">
        <v>0</v>
      </c>
      <c r="C61" s="113">
        <v>0</v>
      </c>
      <c r="D61" s="113">
        <f t="shared" si="3"/>
        <v>0</v>
      </c>
      <c r="E61" s="113">
        <v>-100</v>
      </c>
      <c r="F61" s="113">
        <v>0</v>
      </c>
      <c r="G61" s="113"/>
      <c r="H61" s="113">
        <f t="shared" si="4"/>
        <v>0</v>
      </c>
      <c r="I61" s="105"/>
    </row>
    <row r="62" spans="1:9" x14ac:dyDescent="0.35">
      <c r="A62" s="101" t="s">
        <v>217</v>
      </c>
      <c r="B62" s="113">
        <v>0</v>
      </c>
      <c r="C62" s="113">
        <v>0</v>
      </c>
      <c r="D62" s="113">
        <f t="shared" si="3"/>
        <v>0</v>
      </c>
      <c r="E62" s="113">
        <v>4810.3190000000004</v>
      </c>
      <c r="F62" s="113"/>
      <c r="G62" s="113"/>
      <c r="H62" s="113">
        <f t="shared" si="4"/>
        <v>0</v>
      </c>
      <c r="I62" s="105"/>
    </row>
    <row r="63" spans="1:9" x14ac:dyDescent="0.35">
      <c r="A63" s="101" t="s">
        <v>218</v>
      </c>
      <c r="B63" s="113">
        <v>0</v>
      </c>
      <c r="C63" s="113">
        <v>0</v>
      </c>
      <c r="D63" s="113">
        <f t="shared" si="3"/>
        <v>0</v>
      </c>
      <c r="E63" s="113"/>
      <c r="F63" s="113">
        <v>0</v>
      </c>
      <c r="G63" s="113"/>
      <c r="H63" s="113">
        <f t="shared" si="4"/>
        <v>0</v>
      </c>
      <c r="I63" s="105"/>
    </row>
    <row r="64" spans="1:9" x14ac:dyDescent="0.35">
      <c r="A64" s="101" t="s">
        <v>219</v>
      </c>
      <c r="B64" s="113">
        <v>0</v>
      </c>
      <c r="C64" s="113">
        <v>0</v>
      </c>
      <c r="D64" s="113">
        <f t="shared" si="3"/>
        <v>0</v>
      </c>
      <c r="E64" s="113">
        <v>-1010</v>
      </c>
      <c r="F64" s="113"/>
      <c r="G64" s="113"/>
      <c r="H64" s="113">
        <f t="shared" si="4"/>
        <v>0</v>
      </c>
      <c r="I64" s="105"/>
    </row>
    <row r="65" spans="1:9" x14ac:dyDescent="0.35">
      <c r="A65" s="101" t="s">
        <v>220</v>
      </c>
      <c r="B65" s="113">
        <v>0</v>
      </c>
      <c r="C65" s="113">
        <v>0</v>
      </c>
      <c r="D65" s="113">
        <f t="shared" si="3"/>
        <v>0</v>
      </c>
      <c r="E65" s="113">
        <v>-51.02</v>
      </c>
      <c r="F65" s="113"/>
      <c r="G65" s="113"/>
      <c r="H65" s="113">
        <f t="shared" si="4"/>
        <v>0</v>
      </c>
      <c r="I65" s="105"/>
    </row>
    <row r="66" spans="1:9" x14ac:dyDescent="0.35">
      <c r="A66" s="101" t="s">
        <v>221</v>
      </c>
      <c r="B66" s="113">
        <v>0</v>
      </c>
      <c r="C66" s="113">
        <v>0</v>
      </c>
      <c r="D66" s="113">
        <f t="shared" si="3"/>
        <v>0</v>
      </c>
      <c r="E66" s="113">
        <v>-10.63</v>
      </c>
      <c r="F66" s="113"/>
      <c r="G66" s="113"/>
      <c r="H66" s="113">
        <f t="shared" si="4"/>
        <v>0</v>
      </c>
      <c r="I66" s="105"/>
    </row>
    <row r="67" spans="1:9" x14ac:dyDescent="0.35">
      <c r="A67" s="101" t="s">
        <v>222</v>
      </c>
      <c r="B67" s="113">
        <v>0</v>
      </c>
      <c r="C67" s="113">
        <v>0</v>
      </c>
      <c r="D67" s="113">
        <f t="shared" si="3"/>
        <v>0</v>
      </c>
      <c r="E67" s="113">
        <v>480</v>
      </c>
      <c r="F67" s="113"/>
      <c r="G67" s="113"/>
      <c r="H67" s="113">
        <f t="shared" si="4"/>
        <v>0</v>
      </c>
      <c r="I67" s="105"/>
    </row>
    <row r="68" spans="1:9" x14ac:dyDescent="0.35">
      <c r="A68" s="101" t="s">
        <v>223</v>
      </c>
      <c r="B68" s="113">
        <v>0</v>
      </c>
      <c r="C68" s="113">
        <v>0</v>
      </c>
      <c r="D68" s="113">
        <f t="shared" si="3"/>
        <v>0</v>
      </c>
      <c r="E68" s="113">
        <f>360/1000</f>
        <v>0.36</v>
      </c>
      <c r="F68" s="113"/>
      <c r="G68" s="113"/>
      <c r="H68" s="113">
        <f t="shared" si="4"/>
        <v>0</v>
      </c>
      <c r="I68" s="105"/>
    </row>
    <row r="69" spans="1:9" x14ac:dyDescent="0.35">
      <c r="A69" s="101" t="s">
        <v>224</v>
      </c>
      <c r="B69" s="113">
        <v>0</v>
      </c>
      <c r="C69" s="113">
        <v>0</v>
      </c>
      <c r="D69" s="113">
        <f t="shared" si="3"/>
        <v>0</v>
      </c>
      <c r="E69" s="113">
        <v>-25.46</v>
      </c>
      <c r="F69" s="113"/>
      <c r="G69" s="113"/>
      <c r="H69" s="113">
        <f t="shared" si="4"/>
        <v>0</v>
      </c>
      <c r="I69" s="105"/>
    </row>
    <row r="70" spans="1:9" x14ac:dyDescent="0.35">
      <c r="B70" s="113"/>
      <c r="C70" s="113"/>
      <c r="D70" s="113"/>
      <c r="E70" s="113"/>
      <c r="F70" s="113"/>
      <c r="G70" s="113"/>
      <c r="H70" s="113"/>
      <c r="I70" s="105"/>
    </row>
    <row r="71" spans="1:9" x14ac:dyDescent="0.35">
      <c r="A71" s="129"/>
      <c r="B71" s="130"/>
      <c r="C71" s="130"/>
      <c r="D71" s="130"/>
      <c r="E71" s="130"/>
      <c r="F71" s="130"/>
      <c r="G71" s="130"/>
      <c r="H71" s="130"/>
      <c r="I71" s="105"/>
    </row>
    <row r="72" spans="1:9" x14ac:dyDescent="0.35">
      <c r="B72" s="113"/>
      <c r="C72" s="113"/>
      <c r="D72" s="113"/>
      <c r="E72" s="113"/>
      <c r="F72" s="113"/>
      <c r="G72" s="113"/>
      <c r="H72" s="113"/>
      <c r="I72" s="105"/>
    </row>
    <row r="73" spans="1:9" x14ac:dyDescent="0.35">
      <c r="A73" s="101" t="s">
        <v>225</v>
      </c>
      <c r="B73" s="113">
        <v>0</v>
      </c>
      <c r="C73" s="113">
        <v>0</v>
      </c>
      <c r="D73" s="113">
        <f t="shared" ref="D73:D81" si="5">C73+B73</f>
        <v>0</v>
      </c>
      <c r="E73" s="113">
        <f>750/1000</f>
        <v>0.75</v>
      </c>
      <c r="F73" s="113"/>
      <c r="G73" s="113"/>
      <c r="H73" s="113">
        <f t="shared" ref="H73:H80" si="6">F73+G73</f>
        <v>0</v>
      </c>
      <c r="I73" s="105"/>
    </row>
    <row r="74" spans="1:9" ht="29" x14ac:dyDescent="0.35">
      <c r="A74" s="101" t="s">
        <v>226</v>
      </c>
      <c r="B74" s="113">
        <v>0</v>
      </c>
      <c r="C74" s="113">
        <v>0</v>
      </c>
      <c r="D74" s="113">
        <f t="shared" si="5"/>
        <v>0</v>
      </c>
      <c r="E74" s="113"/>
      <c r="F74" s="113"/>
      <c r="G74" s="113"/>
      <c r="H74" s="113">
        <f t="shared" si="6"/>
        <v>0</v>
      </c>
      <c r="I74" s="105"/>
    </row>
    <row r="75" spans="1:9" ht="29" x14ac:dyDescent="0.35">
      <c r="A75" s="101" t="s">
        <v>226</v>
      </c>
      <c r="B75" s="113">
        <v>0</v>
      </c>
      <c r="C75" s="113">
        <v>0</v>
      </c>
      <c r="D75" s="113">
        <f t="shared" si="5"/>
        <v>0</v>
      </c>
      <c r="E75" s="113"/>
      <c r="F75" s="113"/>
      <c r="G75" s="113"/>
      <c r="H75" s="113">
        <f t="shared" si="6"/>
        <v>0</v>
      </c>
      <c r="I75" s="105"/>
    </row>
    <row r="76" spans="1:9" ht="43.5" x14ac:dyDescent="0.35">
      <c r="A76" s="101" t="s">
        <v>227</v>
      </c>
      <c r="B76" s="113">
        <v>0</v>
      </c>
      <c r="C76" s="113">
        <v>0</v>
      </c>
      <c r="D76" s="113">
        <f t="shared" si="5"/>
        <v>0</v>
      </c>
      <c r="E76" s="113"/>
      <c r="F76" s="113"/>
      <c r="G76" s="113"/>
      <c r="H76" s="113">
        <f t="shared" si="6"/>
        <v>0</v>
      </c>
      <c r="I76" s="105"/>
    </row>
    <row r="77" spans="1:9" x14ac:dyDescent="0.35">
      <c r="A77" s="101" t="s">
        <v>228</v>
      </c>
      <c r="B77" s="113">
        <v>0</v>
      </c>
      <c r="C77" s="113">
        <v>0</v>
      </c>
      <c r="D77" s="113"/>
      <c r="E77" s="113"/>
      <c r="F77" s="113"/>
      <c r="G77" s="113"/>
      <c r="H77" s="113">
        <f t="shared" si="6"/>
        <v>0</v>
      </c>
      <c r="I77" s="105"/>
    </row>
    <row r="78" spans="1:9" x14ac:dyDescent="0.35">
      <c r="A78" s="101" t="s">
        <v>229</v>
      </c>
      <c r="B78" s="113">
        <v>0</v>
      </c>
      <c r="C78" s="113">
        <v>0</v>
      </c>
      <c r="D78" s="113">
        <f t="shared" si="5"/>
        <v>0</v>
      </c>
      <c r="E78" s="113"/>
      <c r="F78" s="113">
        <v>5</v>
      </c>
      <c r="G78" s="113"/>
      <c r="H78" s="113">
        <f t="shared" si="6"/>
        <v>5</v>
      </c>
      <c r="I78" s="105"/>
    </row>
    <row r="79" spans="1:9" x14ac:dyDescent="0.35">
      <c r="A79" s="101" t="s">
        <v>230</v>
      </c>
      <c r="B79" s="113">
        <v>-7.5</v>
      </c>
      <c r="C79" s="113">
        <v>-134</v>
      </c>
      <c r="D79" s="113">
        <f t="shared" si="5"/>
        <v>-141.5</v>
      </c>
      <c r="E79" s="113">
        <v>400.2</v>
      </c>
      <c r="F79" s="113"/>
      <c r="G79" s="113"/>
      <c r="H79" s="113">
        <f t="shared" si="6"/>
        <v>0</v>
      </c>
      <c r="I79" s="105"/>
    </row>
    <row r="80" spans="1:9" x14ac:dyDescent="0.35">
      <c r="A80" s="101" t="s">
        <v>231</v>
      </c>
      <c r="B80" s="113">
        <v>9</v>
      </c>
      <c r="C80" s="113">
        <v>163</v>
      </c>
      <c r="D80" s="113">
        <f t="shared" si="5"/>
        <v>172</v>
      </c>
      <c r="E80" s="113">
        <v>0</v>
      </c>
      <c r="F80" s="113"/>
      <c r="G80" s="113"/>
      <c r="H80" s="113">
        <f t="shared" si="6"/>
        <v>0</v>
      </c>
      <c r="I80" s="105"/>
    </row>
    <row r="81" spans="1:9" x14ac:dyDescent="0.35">
      <c r="A81" s="101" t="s">
        <v>232</v>
      </c>
      <c r="B81" s="113">
        <v>0</v>
      </c>
      <c r="C81" s="113">
        <v>0</v>
      </c>
      <c r="D81" s="113">
        <f t="shared" si="5"/>
        <v>0</v>
      </c>
      <c r="E81" s="113">
        <v>0</v>
      </c>
      <c r="F81" s="113"/>
      <c r="G81" s="113"/>
      <c r="H81" s="113"/>
      <c r="I81" s="105"/>
    </row>
    <row r="82" spans="1:9" ht="15" customHeight="1" x14ac:dyDescent="0.35">
      <c r="A82" s="123"/>
      <c r="B82" s="124"/>
      <c r="C82" s="124"/>
      <c r="D82" s="124"/>
      <c r="E82" s="131"/>
      <c r="F82" s="124"/>
      <c r="G82" s="124"/>
      <c r="H82" s="124"/>
      <c r="I82" s="105"/>
    </row>
    <row r="83" spans="1:9" ht="15" customHeight="1" x14ac:dyDescent="0.45">
      <c r="A83" s="102" t="s">
        <v>233</v>
      </c>
      <c r="B83" s="113"/>
      <c r="C83" s="113"/>
      <c r="D83" s="113"/>
      <c r="E83" s="113"/>
      <c r="F83" s="113"/>
      <c r="G83" s="113"/>
      <c r="H83" s="113"/>
      <c r="I83" s="105"/>
    </row>
    <row r="84" spans="1:9" ht="15" customHeight="1" x14ac:dyDescent="0.45">
      <c r="A84" s="102"/>
      <c r="B84" s="113"/>
      <c r="C84" s="113"/>
      <c r="D84" s="113"/>
      <c r="E84" s="113"/>
      <c r="F84" s="113"/>
      <c r="G84" s="113"/>
      <c r="H84" s="113"/>
      <c r="I84" s="105"/>
    </row>
    <row r="85" spans="1:9" ht="15" customHeight="1" x14ac:dyDescent="0.35">
      <c r="A85" s="122" t="s">
        <v>234</v>
      </c>
      <c r="B85" s="113"/>
      <c r="C85" s="113"/>
      <c r="D85" s="113"/>
      <c r="E85" s="113"/>
      <c r="F85" s="113"/>
      <c r="G85" s="113"/>
      <c r="H85" s="113"/>
      <c r="I85" s="105"/>
    </row>
    <row r="86" spans="1:9" ht="15" customHeight="1" x14ac:dyDescent="0.35">
      <c r="A86" s="101" t="s">
        <v>235</v>
      </c>
      <c r="B86" s="113">
        <v>0</v>
      </c>
      <c r="C86" s="113">
        <f>1176/$B$1</f>
        <v>1.1759999999999999</v>
      </c>
      <c r="D86" s="113">
        <f t="shared" ref="D86:D104" si="7">C86+B86</f>
        <v>1.1759999999999999</v>
      </c>
      <c r="E86" s="113"/>
      <c r="F86" s="113"/>
      <c r="G86" s="113"/>
      <c r="H86" s="113">
        <f t="shared" ref="H86:H91" si="8">F86+G86</f>
        <v>0</v>
      </c>
      <c r="I86" s="105"/>
    </row>
    <row r="87" spans="1:9" ht="15" customHeight="1" x14ac:dyDescent="0.35">
      <c r="A87" s="101" t="s">
        <v>236</v>
      </c>
      <c r="B87" s="113">
        <v>0</v>
      </c>
      <c r="C87" s="113">
        <f>35/$B$1</f>
        <v>3.5000000000000003E-2</v>
      </c>
      <c r="D87" s="113">
        <f t="shared" si="7"/>
        <v>3.5000000000000003E-2</v>
      </c>
      <c r="E87" s="113"/>
      <c r="F87" s="113"/>
      <c r="G87" s="113"/>
      <c r="H87" s="113">
        <f t="shared" si="8"/>
        <v>0</v>
      </c>
      <c r="I87" s="105"/>
    </row>
    <row r="88" spans="1:9" ht="15" customHeight="1" x14ac:dyDescent="0.35">
      <c r="A88" s="101" t="s">
        <v>237</v>
      </c>
      <c r="B88" s="113">
        <v>0</v>
      </c>
      <c r="C88" s="113">
        <v>0</v>
      </c>
      <c r="D88" s="113">
        <f t="shared" si="7"/>
        <v>0</v>
      </c>
      <c r="E88" s="113">
        <v>-90.424999999999997</v>
      </c>
      <c r="F88" s="113"/>
      <c r="G88" s="113"/>
      <c r="H88" s="113">
        <f t="shared" si="8"/>
        <v>0</v>
      </c>
      <c r="I88" s="105"/>
    </row>
    <row r="89" spans="1:9" ht="15" customHeight="1" x14ac:dyDescent="0.35">
      <c r="A89" s="101" t="s">
        <v>238</v>
      </c>
      <c r="B89" s="113">
        <v>0</v>
      </c>
      <c r="C89" s="113">
        <v>0</v>
      </c>
      <c r="D89" s="113">
        <f t="shared" si="7"/>
        <v>0</v>
      </c>
      <c r="E89" s="113">
        <v>25.123000000000001</v>
      </c>
      <c r="F89" s="113"/>
      <c r="G89" s="113"/>
      <c r="H89" s="113">
        <f t="shared" si="8"/>
        <v>0</v>
      </c>
      <c r="I89" s="105"/>
    </row>
    <row r="90" spans="1:9" ht="15" customHeight="1" x14ac:dyDescent="0.35">
      <c r="A90" s="101" t="s">
        <v>239</v>
      </c>
      <c r="B90" s="113">
        <v>0</v>
      </c>
      <c r="C90" s="113">
        <f>2555/$B$1</f>
        <v>2.5550000000000002</v>
      </c>
      <c r="D90" s="113">
        <f t="shared" si="7"/>
        <v>2.5550000000000002</v>
      </c>
      <c r="E90" s="113"/>
      <c r="F90" s="113"/>
      <c r="G90" s="113"/>
      <c r="H90" s="113">
        <f t="shared" si="8"/>
        <v>0</v>
      </c>
      <c r="I90" s="105"/>
    </row>
    <row r="91" spans="1:9" x14ac:dyDescent="0.35">
      <c r="A91" s="101" t="s">
        <v>240</v>
      </c>
      <c r="B91" s="113">
        <v>0</v>
      </c>
      <c r="C91" s="113">
        <f>-1121/$B$1</f>
        <v>-1.121</v>
      </c>
      <c r="D91" s="113">
        <f t="shared" si="7"/>
        <v>-1.121</v>
      </c>
      <c r="E91" s="113"/>
      <c r="F91" s="113"/>
      <c r="G91" s="113"/>
      <c r="H91" s="113">
        <f t="shared" si="8"/>
        <v>0</v>
      </c>
      <c r="I91" s="105"/>
    </row>
    <row r="92" spans="1:9" ht="15" customHeight="1" x14ac:dyDescent="0.35">
      <c r="A92" s="101" t="s">
        <v>241</v>
      </c>
      <c r="B92" s="113">
        <v>0</v>
      </c>
      <c r="C92" s="113">
        <f>952/$B$1</f>
        <v>0.95199999999999996</v>
      </c>
      <c r="D92" s="113">
        <f t="shared" si="7"/>
        <v>0.95199999999999996</v>
      </c>
      <c r="E92" s="113"/>
      <c r="F92" s="113"/>
      <c r="G92" s="113"/>
      <c r="H92" s="113">
        <f>F92+G92</f>
        <v>0</v>
      </c>
      <c r="I92" s="105"/>
    </row>
    <row r="93" spans="1:9" ht="15" customHeight="1" x14ac:dyDescent="0.35">
      <c r="A93" s="123"/>
      <c r="B93" s="124"/>
      <c r="C93" s="124"/>
      <c r="D93" s="124"/>
      <c r="E93" s="124"/>
      <c r="F93" s="124"/>
      <c r="G93" s="124"/>
      <c r="H93" s="124"/>
      <c r="I93" s="105"/>
    </row>
    <row r="94" spans="1:9" ht="15" customHeight="1" x14ac:dyDescent="0.35">
      <c r="A94" s="132" t="s">
        <v>242</v>
      </c>
      <c r="B94" s="113">
        <v>0</v>
      </c>
      <c r="C94" s="113">
        <f>2-2</f>
        <v>0</v>
      </c>
      <c r="D94" s="113">
        <f t="shared" si="7"/>
        <v>0</v>
      </c>
      <c r="E94" s="113">
        <v>-1</v>
      </c>
      <c r="F94" s="113"/>
      <c r="G94" s="113"/>
      <c r="H94" s="113">
        <f t="shared" ref="H94:H101" si="9">F94+G94</f>
        <v>0</v>
      </c>
    </row>
    <row r="95" spans="1:9" ht="15" customHeight="1" x14ac:dyDescent="0.35">
      <c r="A95" s="132" t="s">
        <v>243</v>
      </c>
      <c r="B95" s="113">
        <v>0</v>
      </c>
      <c r="C95" s="113">
        <v>0</v>
      </c>
      <c r="D95" s="113">
        <f t="shared" si="7"/>
        <v>0</v>
      </c>
      <c r="E95" s="113"/>
      <c r="F95" s="113"/>
      <c r="G95" s="113"/>
      <c r="H95" s="113">
        <f t="shared" si="9"/>
        <v>0</v>
      </c>
    </row>
    <row r="96" spans="1:9" x14ac:dyDescent="0.35">
      <c r="A96" s="132" t="s">
        <v>244</v>
      </c>
      <c r="B96" s="113">
        <v>0</v>
      </c>
      <c r="C96" s="113">
        <v>0</v>
      </c>
      <c r="D96" s="113">
        <f t="shared" si="7"/>
        <v>0</v>
      </c>
      <c r="E96" s="113">
        <v>-1.0900000000000001</v>
      </c>
      <c r="F96" s="113"/>
      <c r="G96" s="113"/>
      <c r="H96" s="113">
        <f t="shared" si="9"/>
        <v>0</v>
      </c>
    </row>
    <row r="97" spans="1:9" x14ac:dyDescent="0.35">
      <c r="A97" s="132" t="s">
        <v>245</v>
      </c>
      <c r="B97" s="113">
        <v>0</v>
      </c>
      <c r="C97" s="113">
        <f>-50/$B$1</f>
        <v>-0.05</v>
      </c>
      <c r="D97" s="113">
        <f t="shared" si="7"/>
        <v>-0.05</v>
      </c>
      <c r="E97" s="113"/>
      <c r="F97" s="113"/>
      <c r="G97" s="113"/>
      <c r="H97" s="113">
        <f t="shared" si="9"/>
        <v>0</v>
      </c>
    </row>
    <row r="98" spans="1:9" ht="29" x14ac:dyDescent="0.35">
      <c r="A98" s="132" t="s">
        <v>246</v>
      </c>
      <c r="B98" s="113">
        <v>0</v>
      </c>
      <c r="C98" s="113">
        <f>-3750/$B$1</f>
        <v>-3.75</v>
      </c>
      <c r="D98" s="113">
        <f t="shared" si="7"/>
        <v>-3.75</v>
      </c>
      <c r="E98" s="113"/>
      <c r="F98" s="113"/>
      <c r="G98" s="113"/>
      <c r="H98" s="113">
        <f t="shared" si="9"/>
        <v>0</v>
      </c>
    </row>
    <row r="99" spans="1:9" ht="29" x14ac:dyDescent="0.35">
      <c r="A99" s="132" t="s">
        <v>247</v>
      </c>
      <c r="B99" s="113">
        <f>-210/$B$1</f>
        <v>-0.21</v>
      </c>
      <c r="C99" s="113">
        <v>0</v>
      </c>
      <c r="D99" s="113">
        <f t="shared" si="7"/>
        <v>-0.21</v>
      </c>
      <c r="E99" s="113"/>
      <c r="F99" s="113"/>
      <c r="G99" s="113"/>
      <c r="H99" s="113">
        <f t="shared" si="9"/>
        <v>0</v>
      </c>
    </row>
    <row r="100" spans="1:9" x14ac:dyDescent="0.35">
      <c r="A100" s="132" t="s">
        <v>248</v>
      </c>
      <c r="B100" s="113">
        <v>0</v>
      </c>
      <c r="C100" s="113">
        <f>-11600/$B$1</f>
        <v>-11.6</v>
      </c>
      <c r="D100" s="113">
        <f t="shared" si="7"/>
        <v>-11.6</v>
      </c>
      <c r="E100" s="113"/>
      <c r="F100" s="113"/>
      <c r="G100" s="113"/>
      <c r="H100" s="113">
        <f t="shared" si="9"/>
        <v>0</v>
      </c>
    </row>
    <row r="101" spans="1:9" x14ac:dyDescent="0.35">
      <c r="A101" s="132" t="s">
        <v>249</v>
      </c>
      <c r="B101" s="113">
        <v>0</v>
      </c>
      <c r="C101" s="113">
        <v>0</v>
      </c>
      <c r="D101" s="113">
        <f t="shared" si="7"/>
        <v>0</v>
      </c>
      <c r="E101" s="133">
        <v>0.45</v>
      </c>
      <c r="F101" s="113"/>
      <c r="G101" s="113"/>
      <c r="H101" s="113">
        <f t="shared" si="9"/>
        <v>0</v>
      </c>
    </row>
    <row r="102" spans="1:9" ht="15" customHeight="1" x14ac:dyDescent="0.35">
      <c r="A102" s="101" t="s">
        <v>250</v>
      </c>
      <c r="B102" s="113">
        <f>304/$B$1</f>
        <v>0.30399999999999999</v>
      </c>
      <c r="C102" s="113">
        <v>0</v>
      </c>
      <c r="D102" s="113">
        <f t="shared" si="7"/>
        <v>0.30399999999999999</v>
      </c>
      <c r="E102" s="113"/>
      <c r="F102" s="113"/>
      <c r="G102" s="113"/>
      <c r="H102" s="113"/>
      <c r="I102" s="105"/>
    </row>
    <row r="103" spans="1:9" ht="15" customHeight="1" x14ac:dyDescent="0.35">
      <c r="A103" s="101" t="s">
        <v>251</v>
      </c>
      <c r="B103" s="113">
        <f>66/$B$1</f>
        <v>6.6000000000000003E-2</v>
      </c>
      <c r="C103" s="113"/>
      <c r="D103" s="113"/>
      <c r="E103" s="113"/>
      <c r="F103" s="113"/>
      <c r="G103" s="113"/>
      <c r="H103" s="113"/>
      <c r="I103" s="105"/>
    </row>
    <row r="104" spans="1:9" ht="15" customHeight="1" x14ac:dyDescent="0.35">
      <c r="A104" s="101" t="s">
        <v>252</v>
      </c>
      <c r="B104" s="113">
        <v>0</v>
      </c>
      <c r="C104" s="113">
        <v>2900</v>
      </c>
      <c r="D104" s="113">
        <f t="shared" si="7"/>
        <v>2900</v>
      </c>
      <c r="E104" s="113"/>
      <c r="F104" s="113"/>
      <c r="G104" s="113"/>
      <c r="H104" s="113"/>
      <c r="I104" s="105"/>
    </row>
    <row r="105" spans="1:9" ht="15" customHeight="1" x14ac:dyDescent="0.35">
      <c r="B105" s="113"/>
      <c r="C105" s="113"/>
      <c r="D105" s="113"/>
      <c r="E105" s="113"/>
      <c r="F105" s="113"/>
      <c r="G105" s="113"/>
      <c r="H105" s="113"/>
      <c r="I105" s="105"/>
    </row>
    <row r="106" spans="1:9" ht="15" customHeight="1" x14ac:dyDescent="0.35">
      <c r="B106" s="113"/>
      <c r="C106" s="113"/>
      <c r="D106" s="113"/>
      <c r="E106" s="113"/>
      <c r="F106" s="113"/>
      <c r="G106" s="113"/>
      <c r="H106" s="113"/>
      <c r="I106" s="105"/>
    </row>
    <row r="107" spans="1:9" ht="15" customHeight="1" x14ac:dyDescent="0.45">
      <c r="A107" s="134" t="s">
        <v>253</v>
      </c>
      <c r="B107" s="135">
        <f>B26+SUM(B30:B106)+0.2</f>
        <v>302.11500000000001</v>
      </c>
      <c r="C107" s="135">
        <f>C26+SUM(C30:C106)-0.1</f>
        <v>13890.095000000001</v>
      </c>
      <c r="D107" s="135">
        <f>D26+SUM(D30:D106)+0.3</f>
        <v>14192.344000000001</v>
      </c>
      <c r="E107" s="135">
        <f>E26+SUM(E30:E106)</f>
        <v>18063.757999999998</v>
      </c>
      <c r="F107" s="135">
        <f>F26+SUM(F30:F106)</f>
        <v>2408.5230000000001</v>
      </c>
      <c r="G107" s="135">
        <f>G26+SUM(G30:G106)</f>
        <v>469.6</v>
      </c>
      <c r="H107" s="135">
        <f>H26+SUM(H30:H101)</f>
        <v>2878.123</v>
      </c>
      <c r="I107" s="136"/>
    </row>
    <row r="108" spans="1:9" s="139" customFormat="1" x14ac:dyDescent="0.35">
      <c r="A108" s="137"/>
      <c r="B108" s="137">
        <f>285.845+16.302</f>
        <v>302.14700000000005</v>
      </c>
      <c r="C108" s="137">
        <f>6616.172+7273.953</f>
        <v>13890.125</v>
      </c>
      <c r="D108" s="138">
        <f>C108+B108</f>
        <v>14192.272000000001</v>
      </c>
      <c r="E108" s="138">
        <v>18063.758000000002</v>
      </c>
      <c r="F108" s="138">
        <v>2408.5230000000001</v>
      </c>
      <c r="G108" s="138">
        <v>469.6</v>
      </c>
      <c r="H108" s="138">
        <f>F108+G108</f>
        <v>2878.123</v>
      </c>
    </row>
    <row r="109" spans="1:9" x14ac:dyDescent="0.35">
      <c r="B109" s="140">
        <f>B108-B107</f>
        <v>3.2000000000039108E-2</v>
      </c>
      <c r="C109" s="140">
        <f t="shared" ref="C109:H109" si="10">C108-C107</f>
        <v>2.9999999998835847E-2</v>
      </c>
      <c r="D109" s="140">
        <f t="shared" si="10"/>
        <v>-7.2000000000116415E-2</v>
      </c>
      <c r="E109" s="140">
        <f t="shared" si="10"/>
        <v>0</v>
      </c>
      <c r="F109" s="140">
        <f t="shared" si="10"/>
        <v>0</v>
      </c>
      <c r="G109" s="140">
        <f t="shared" si="10"/>
        <v>0</v>
      </c>
      <c r="H109" s="140">
        <f t="shared" si="10"/>
        <v>0</v>
      </c>
    </row>
    <row r="110" spans="1:9" x14ac:dyDescent="0.35">
      <c r="B110" s="140"/>
      <c r="C110" s="140"/>
      <c r="D110" s="140"/>
      <c r="E110" s="140"/>
      <c r="F110" s="140"/>
      <c r="G110" s="140"/>
      <c r="H110" s="140"/>
    </row>
    <row r="112" spans="1:9" x14ac:dyDescent="0.35">
      <c r="A112" s="141"/>
      <c r="B112" s="142"/>
      <c r="C112" s="142"/>
      <c r="D112" s="142"/>
      <c r="E112" s="142"/>
      <c r="F112" s="142"/>
      <c r="G112" s="142"/>
      <c r="H112" s="142"/>
    </row>
    <row r="116" spans="2:8" x14ac:dyDescent="0.35">
      <c r="B116" s="143"/>
      <c r="C116" s="143"/>
      <c r="D116" s="143"/>
      <c r="E116" s="143"/>
      <c r="F116" s="143"/>
      <c r="G116" s="143"/>
      <c r="H116" s="143"/>
    </row>
    <row r="117" spans="2:8" x14ac:dyDescent="0.35">
      <c r="C117" s="143"/>
      <c r="D117" s="143"/>
    </row>
  </sheetData>
  <mergeCells count="1">
    <mergeCell ref="D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016c991dff466a8928f6cf09270ea2 xmlns="c135ec81-e454-40e6-a72a-7c0ef2eed0b8">
      <Terms xmlns="http://schemas.microsoft.com/office/infopath/2007/PartnerControls"/>
    </j7016c991dff466a8928f6cf09270ea2>
    <dlc_EmailTo xmlns="15ff3d39-6e7b-4d70-9b7c-8d9fe85d0f29" xsi:nil="true"/>
    <TaxCatchAll xmlns="15ff3d39-6e7b-4d70-9b7c-8d9fe85d0f29"/>
    <dlc_EmailSubject xmlns="15ff3d39-6e7b-4d70-9b7c-8d9fe85d0f29" xsi:nil="true"/>
    <dlc_EmailCC xmlns="15ff3d39-6e7b-4d70-9b7c-8d9fe85d0f29" xsi:nil="true"/>
    <c46fa6100ae34764a6ba18faef27c2ff xmlns="c135ec81-e454-40e6-a72a-7c0ef2eed0b8">
      <Terms xmlns="http://schemas.microsoft.com/office/infopath/2007/PartnerControls"/>
    </c46fa6100ae34764a6ba18faef27c2ff>
    <lab66271e8ec4d9dbba2573eb272ae37 xmlns="c135ec81-e454-40e6-a72a-7c0ef2eed0b8">
      <Terms xmlns="http://schemas.microsoft.com/office/infopath/2007/PartnerControls"/>
    </lab66271e8ec4d9dbba2573eb272ae37>
    <Historical_x0020_Importance xmlns="15ff3d39-6e7b-4d70-9b7c-8d9fe85d0f29">false</Historical_x0020_Importance>
    <dlc_EmailFrom xmlns="15ff3d39-6e7b-4d70-9b7c-8d9fe85d0f29" xsi:nil="true"/>
    <dlc_EmailBCC xmlns="15ff3d39-6e7b-4d70-9b7c-8d9fe85d0f29" xsi:nil="true"/>
    <Security_x0020_Classification xmlns="15ff3d39-6e7b-4d70-9b7c-8d9fe85d0f29">Official</Security_x0020_Classification>
    <dlc_EmailSentUTC xmlns="15ff3d39-6e7b-4d70-9b7c-8d9fe85d0f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D59434CA0FAC4EBC2C4E46BB870670" ma:contentTypeVersion="10" ma:contentTypeDescription="Create a new document." ma:contentTypeScope="" ma:versionID="d44d79dd27b5ed92bf434621cfde04a9">
  <xsd:schema xmlns:xsd="http://www.w3.org/2001/XMLSchema" xmlns:xs="http://www.w3.org/2001/XMLSchema" xmlns:p="http://schemas.microsoft.com/office/2006/metadata/properties" xmlns:ns2="c135ec81-e454-40e6-a72a-7c0ef2eed0b8" xmlns:ns3="15ff3d39-6e7b-4d70-9b7c-8d9fe85d0f29" xmlns:ns4="3a852714-3aaf-476f-89f7-f977a3bc6b60" targetNamespace="http://schemas.microsoft.com/office/2006/metadata/properties" ma:root="true" ma:fieldsID="bbd1f2cacf727ede575792d88a199383" ns2:_="" ns3:_="" ns4:_="">
    <xsd:import namespace="c135ec81-e454-40e6-a72a-7c0ef2eed0b8"/>
    <xsd:import namespace="15ff3d39-6e7b-4d70-9b7c-8d9fe85d0f29"/>
    <xsd:import namespace="3a852714-3aaf-476f-89f7-f977a3bc6b60"/>
    <xsd:element name="properties">
      <xsd:complexType>
        <xsd:sequence>
          <xsd:element name="documentManagement">
            <xsd:complexType>
              <xsd:all>
                <xsd:element ref="ns2:c46fa6100ae34764a6ba18faef27c2ff" minOccurs="0"/>
                <xsd:element ref="ns3:TaxCatchAll" minOccurs="0"/>
                <xsd:element ref="ns3:TaxCatchAllLabel" minOccurs="0"/>
                <xsd:element ref="ns2:lab66271e8ec4d9dbba2573eb272ae37" minOccurs="0"/>
                <xsd:element ref="ns3:Historical_x0020_Importance" minOccurs="0"/>
                <xsd:element ref="ns3:Security_x0020_Classification" minOccurs="0"/>
                <xsd:element ref="ns2:j7016c991dff466a8928f6cf09270ea2" minOccurs="0"/>
                <xsd:element ref="ns3:dlc_EmailSentUTC" minOccurs="0"/>
                <xsd:element ref="ns3:dlc_EmailTo" minOccurs="0"/>
                <xsd:element ref="ns3:dlc_EmailFrom" minOccurs="0"/>
                <xsd:element ref="ns3:dlc_EmailCC" minOccurs="0"/>
                <xsd:element ref="ns3:dlc_EmailBCC" minOccurs="0"/>
                <xsd:element ref="ns3:dlc_EmailSubject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5ec81-e454-40e6-a72a-7c0ef2eed0b8" elementFormDefault="qualified">
    <xsd:import namespace="http://schemas.microsoft.com/office/2006/documentManagement/types"/>
    <xsd:import namespace="http://schemas.microsoft.com/office/infopath/2007/PartnerControls"/>
    <xsd:element name="c46fa6100ae34764a6ba18faef27c2ff" ma:index="8" nillable="true" ma:taxonomy="true" ma:internalName="c46fa6100ae34764a6ba18faef27c2ff" ma:taxonomyFieldName="CustomTag" ma:displayName="Custom Tag" ma:default="" ma:fieldId="{c46fa610-0ae3-4764-a6ba-18faef27c2ff}" ma:sspId="5de26ec3-896b-4bef-bed1-ad194f885b2b" ma:termSetId="2ef6cff9-9bdf-4c84-88f0-41d32c14718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lab66271e8ec4d9dbba2573eb272ae37" ma:index="12" nillable="true" ma:taxonomy="true" ma:internalName="lab66271e8ec4d9dbba2573eb272ae37" ma:taxonomyFieldName="FinancialYear" ma:displayName="Financial Year" ma:default="" ma:fieldId="{5ab66271-e8ec-4d9d-bba2-573eb272ae37}" ma:sspId="5de26ec3-896b-4bef-bed1-ad194f885b2b" ma:termSetId="ad0d7153-16bc-4f62-8559-37863dc2e0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016c991dff466a8928f6cf09270ea2" ma:index="16" nillable="true" ma:taxonomy="true" ma:internalName="j7016c991dff466a8928f6cf09270ea2" ma:taxonomyFieldName="DfTSubject" ma:displayName="Subject" ma:default="" ma:fieldId="{37016c99-1dff-466a-8928-f6cf09270ea2}" ma:sspId="5de26ec3-896b-4bef-bed1-ad194f885b2b" ma:termSetId="6c7a8109-b06a-485d-a493-c32bb6e1e3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3d39-6e7b-4d70-9b7c-8d9fe85d0f29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6ec9f9d9-514f-4d58-b468-ae8a227b3315}" ma:internalName="TaxCatchAll" ma:showField="CatchAllData" ma:web="c135ec81-e454-40e6-a72a-7c0ef2eed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ec9f9d9-514f-4d58-b468-ae8a227b3315}" ma:internalName="TaxCatchAllLabel" ma:readOnly="true" ma:showField="CatchAllDataLabel" ma:web="c135ec81-e454-40e6-a72a-7c0ef2eed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istorical_x0020_Importance" ma:index="14" nillable="true" ma:displayName="Historical Importance" ma:default="0" ma:internalName="Historical_x0020_Importance">
      <xsd:simpleType>
        <xsd:restriction base="dms:Boolean"/>
      </xsd:simpleType>
    </xsd:element>
    <xsd:element name="Security_x0020_Classification" ma:index="15" nillable="true" ma:displayName="Security Classification" ma:default="Official" ma:format="Dropdown" ma:internalName="Security_x0020_Classification">
      <xsd:simpleType>
        <xsd:restriction base="dms:Choice">
          <xsd:enumeration value="Official"/>
          <xsd:enumeration value="Official Sensitive"/>
        </xsd:restriction>
      </xsd:simpleType>
    </xsd:element>
    <xsd:element name="dlc_EmailSentUTC" ma:index="18" nillable="true" ma:displayName="Date Sent" ma:description="" ma:internalName="dlc_EmailSentUTC">
      <xsd:simpleType>
        <xsd:restriction base="dms:DateTime"/>
      </xsd:simpleType>
    </xsd:element>
    <xsd:element name="dlc_EmailTo" ma:index="19" nillable="true" ma:displayName="To" ma:description="" ma:internalName="dlc_EmailTo">
      <xsd:simpleType>
        <xsd:restriction base="dms:Note"/>
      </xsd:simpleType>
    </xsd:element>
    <xsd:element name="dlc_EmailFrom" ma:index="20" nillable="true" ma:displayName="From" ma:description="" ma:internalName="dlc_EmailFrom">
      <xsd:simpleType>
        <xsd:restriction base="dms:Text">
          <xsd:maxLength value="255"/>
        </xsd:restriction>
      </xsd:simpleType>
    </xsd:element>
    <xsd:element name="dlc_EmailCC" ma:index="21" nillable="true" ma:displayName="CC" ma:description="" ma:internalName="dlc_EmailCC">
      <xsd:simpleType>
        <xsd:restriction base="dms:Note">
          <xsd:maxLength value="1024"/>
        </xsd:restriction>
      </xsd:simpleType>
    </xsd:element>
    <xsd:element name="dlc_EmailBCC" ma:index="22" nillable="true" ma:displayName="BCC" ma:description="" ma:internalName="dlc_EmailBCC">
      <xsd:simpleType>
        <xsd:restriction base="dms:Note">
          <xsd:maxLength value="1024"/>
        </xsd:restriction>
      </xsd:simpleType>
    </xsd:element>
    <xsd:element name="dlc_EmailSubject" ma:index="23" nillable="true" ma:displayName="Email Subject" ma:description="" ma:internalName="dlc_EmailSubject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52714-3aaf-476f-89f7-f977a3bc6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D45C0-C91A-409D-84DD-3F17534B0A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874D8A-256A-4460-9284-588FB5AFE96E}">
  <ds:schemaRefs>
    <ds:schemaRef ds:uri="http://purl.org/dc/elements/1.1/"/>
    <ds:schemaRef ds:uri="http://schemas.microsoft.com/office/2006/metadata/properties"/>
    <ds:schemaRef ds:uri="15ff3d39-6e7b-4d70-9b7c-8d9fe85d0f2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c135ec81-e454-40e6-a72a-7c0ef2eed0b8"/>
    <ds:schemaRef ds:uri="3a852714-3aaf-476f-89f7-f977a3bc6b6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1BCE78-FF0C-486A-9DD9-7003049DB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5ec81-e454-40e6-a72a-7c0ef2eed0b8"/>
    <ds:schemaRef ds:uri="15ff3d39-6e7b-4d70-9b7c-8d9fe85d0f29"/>
    <ds:schemaRef ds:uri="3a852714-3aaf-476f-89f7-f977a3bc6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A (i)</vt:lpstr>
      <vt:lpstr>Table A (ii)</vt:lpstr>
      <vt:lpstr>Table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Anastasios Angelopoulos</dc:creator>
  <cp:lastModifiedBy>COURTNEY, Deborah</cp:lastModifiedBy>
  <dcterms:created xsi:type="dcterms:W3CDTF">2020-04-16T10:02:48Z</dcterms:created>
  <dcterms:modified xsi:type="dcterms:W3CDTF">2020-06-26T10:29:11Z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0x010100C4D59434CA0FAC4EBC2C4E46BB870670</vt:lpwstr>
  </property>
  <property fmtid="{D5CDD505-2E9C-101B-9397-08002B2CF9AE}" pid="3" name="CustomTag">
    <vt:lpwstr/>
  </property>
  <property fmtid="{D5CDD505-2E9C-101B-9397-08002B2CF9AE}" pid="4" name="FinancialYear">
    <vt:lpwstr/>
  </property>
  <property fmtid="{D5CDD505-2E9C-101B-9397-08002B2CF9AE}" pid="5" name="DfTSubject">
    <vt:lpwstr/>
  </property>
  <property fmtid="{D5CDD505-2E9C-101B-9397-08002B2CF9AE}" pid="6" name="MSIP_Label_a8f77787-5df4-43b6-a2a8-8d8b678a318b_Enabled">
    <vt:lpwstr>True</vt:lpwstr>
  </property>
  <property fmtid="{D5CDD505-2E9C-101B-9397-08002B2CF9AE}" pid="7" name="MSIP_Label_a8f77787-5df4-43b6-a2a8-8d8b678a318b_SiteId">
    <vt:lpwstr>1ce6dd9e-b337-4088-be5e-8dbbec04b34a</vt:lpwstr>
  </property>
  <property fmtid="{D5CDD505-2E9C-101B-9397-08002B2CF9AE}" pid="8" name="MSIP_Label_a8f77787-5df4-43b6-a2a8-8d8b678a318b_Owner">
    <vt:lpwstr>courtneyd@parliament.uk</vt:lpwstr>
  </property>
  <property fmtid="{D5CDD505-2E9C-101B-9397-08002B2CF9AE}" pid="9" name="MSIP_Label_a8f77787-5df4-43b6-a2a8-8d8b678a318b_SetDate">
    <vt:lpwstr>2020-06-26T10:22:14.7976583Z</vt:lpwstr>
  </property>
  <property fmtid="{D5CDD505-2E9C-101B-9397-08002B2CF9AE}" pid="10" name="MSIP_Label_a8f77787-5df4-43b6-a2a8-8d8b678a318b_Name">
    <vt:lpwstr>Unrestricted</vt:lpwstr>
  </property>
  <property fmtid="{D5CDD505-2E9C-101B-9397-08002B2CF9AE}" pid="11" name="MSIP_Label_a8f77787-5df4-43b6-a2a8-8d8b678a318b_Application">
    <vt:lpwstr>Microsoft Azure Information Protection</vt:lpwstr>
  </property>
  <property fmtid="{D5CDD505-2E9C-101B-9397-08002B2CF9AE}" pid="12" name="MSIP_Label_a8f77787-5df4-43b6-a2a8-8d8b678a318b_ActionId">
    <vt:lpwstr>aa8b6021-e969-44c4-b2cf-b3dee626dad8</vt:lpwstr>
  </property>
  <property fmtid="{D5CDD505-2E9C-101B-9397-08002B2CF9AE}" pid="13" name="MSIP_Label_a8f77787-5df4-43b6-a2a8-8d8b678a318b_Extended_MSFT_Method">
    <vt:lpwstr>Automatic</vt:lpwstr>
  </property>
  <property fmtid="{D5CDD505-2E9C-101B-9397-08002B2CF9AE}" pid="14" name="Sensitivity">
    <vt:lpwstr>Unrestricted</vt:lpwstr>
  </property>
</Properties>
</file>